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3855" tabRatio="870" activeTab="0"/>
  </bookViews>
  <sheets>
    <sheet name="Introduction" sheetId="1" r:id="rId1"/>
    <sheet name="Base data" sheetId="2" r:id="rId2"/>
    <sheet name="Full year summary" sheetId="3" r:id="rId3"/>
    <sheet name="First maintenance" sheetId="4" r:id="rId4"/>
    <sheet name="Lead-up period" sheetId="5" r:id="rId5"/>
    <sheet name="Breeding season" sheetId="6" r:id="rId6"/>
    <sheet name="Babies" sheetId="7" r:id="rId7"/>
    <sheet name="Second maintenance period" sheetId="8" r:id="rId8"/>
    <sheet name="Product guide - breeders" sheetId="9" r:id="rId9"/>
    <sheet name="Product guide - sick birds" sheetId="10" r:id="rId10"/>
  </sheets>
  <definedNames>
    <definedName name="_xlnm.Print_Area" localSheetId="1">'Base data'!$A$1:$I$30</definedName>
    <definedName name="_xlnm.Print_Area" localSheetId="5">'Breeding season'!$A$1:$N$37</definedName>
    <definedName name="_xlnm.Print_Area" localSheetId="3">'First maintenance'!$A$1:$N$34</definedName>
    <definedName name="_xlnm.Print_Area" localSheetId="0">'Introduction'!$A$1:$K$67</definedName>
    <definedName name="_xlnm.Print_Area" localSheetId="4">'Lead-up period'!$A$1:$N$184</definedName>
  </definedNames>
  <calcPr fullCalcOnLoad="1"/>
</workbook>
</file>

<file path=xl/sharedStrings.xml><?xml version="1.0" encoding="utf-8"?>
<sst xmlns="http://schemas.openxmlformats.org/spreadsheetml/2006/main" count="1357" uniqueCount="267">
  <si>
    <t>Species</t>
  </si>
  <si>
    <t>Typical weight</t>
  </si>
  <si>
    <t>Number of birds</t>
  </si>
  <si>
    <t>Total Bird weight</t>
  </si>
  <si>
    <t>grams</t>
  </si>
  <si>
    <t>mls</t>
  </si>
  <si>
    <t>Daily water used</t>
  </si>
  <si>
    <r>
      <t xml:space="preserve">Add </t>
    </r>
    <r>
      <rPr>
        <i/>
        <sz val="10"/>
        <color indexed="17"/>
        <rFont val="Arial"/>
        <family val="2"/>
      </rPr>
      <t xml:space="preserve">Potent Brew      </t>
    </r>
    <r>
      <rPr>
        <i/>
        <sz val="10"/>
        <color indexed="10"/>
        <rFont val="Arial"/>
        <family val="2"/>
      </rPr>
      <t>Once a week</t>
    </r>
  </si>
  <si>
    <t>Daily Essentials3</t>
  </si>
  <si>
    <t>Potent Brew</t>
  </si>
  <si>
    <t>Conversion table</t>
  </si>
  <si>
    <t xml:space="preserve">Potent Brew: </t>
  </si>
  <si>
    <t>1 tsp = 5 mls</t>
  </si>
  <si>
    <t>30 drops = 1 ml</t>
  </si>
  <si>
    <t>1 tsp = 4 grams</t>
  </si>
  <si>
    <t>tsp</t>
  </si>
  <si>
    <t>Feast</t>
  </si>
  <si>
    <t>ProBoost SuperMax</t>
  </si>
  <si>
    <t>Alternatively use BioPlus</t>
  </si>
  <si>
    <t>BioPlus</t>
  </si>
  <si>
    <t>Or BirdPark Essentials</t>
  </si>
  <si>
    <t>1 ounce is approximately 28.5 grams</t>
  </si>
  <si>
    <t>1 pint is approximately 570 millilitres</t>
  </si>
  <si>
    <t xml:space="preserve">1 pound is approximately 450 grams </t>
  </si>
  <si>
    <t>1 gallon is approximately 4.5 litres</t>
  </si>
  <si>
    <t>12.5% of diet</t>
  </si>
  <si>
    <t>Double this for greys and eclectus</t>
  </si>
  <si>
    <t>Full year product requirement summary</t>
  </si>
  <si>
    <t xml:space="preserve">Potent Brew </t>
  </si>
  <si>
    <t>Full Year Total (12 months)</t>
  </si>
  <si>
    <t>Alternate products</t>
  </si>
  <si>
    <t>ProBoost SuperMax (no alternate)</t>
  </si>
  <si>
    <r>
      <t xml:space="preserve">Flourish </t>
    </r>
    <r>
      <rPr>
        <b/>
        <sz val="8"/>
        <rFont val="Arial"/>
        <family val="2"/>
      </rPr>
      <t>(for birds not eating Feast)</t>
    </r>
  </si>
  <si>
    <r>
      <t xml:space="preserve">BirdPark Essentials </t>
    </r>
    <r>
      <rPr>
        <b/>
        <sz val="8"/>
        <rFont val="Arial"/>
        <family val="2"/>
      </rPr>
      <t>(for large collections)</t>
    </r>
  </si>
  <si>
    <r>
      <t>BioPlus</t>
    </r>
    <r>
      <rPr>
        <b/>
        <sz val="8"/>
        <rFont val="Arial"/>
        <family val="2"/>
      </rPr>
      <t xml:space="preserve"> (where Potent Brew not appropriate)</t>
    </r>
  </si>
  <si>
    <t>Normal products</t>
  </si>
  <si>
    <r>
      <t xml:space="preserve">Approx amount of Feast to feed </t>
    </r>
    <r>
      <rPr>
        <b/>
        <sz val="10"/>
        <color indexed="10"/>
        <rFont val="Arial"/>
        <family val="2"/>
      </rPr>
      <t>daily</t>
    </r>
    <r>
      <rPr>
        <b/>
        <sz val="10"/>
        <color indexed="17"/>
        <rFont val="Arial"/>
        <family val="2"/>
      </rPr>
      <t xml:space="preserve"> during maintenance</t>
    </r>
  </si>
  <si>
    <r>
      <t>Add Daily Essentials3</t>
    </r>
    <r>
      <rPr>
        <i/>
        <sz val="10"/>
        <color indexed="10"/>
        <rFont val="Arial"/>
        <family val="2"/>
      </rPr>
      <t xml:space="preserve">     Daily</t>
    </r>
  </si>
  <si>
    <t>Some people prefer not to feed softfoods to hookbills. In these circumstances we recommend the herbal supplement Flourish to provide herbal health support.</t>
  </si>
  <si>
    <t>No ProBoost SuperMax required</t>
  </si>
  <si>
    <t>Date to start breeding season</t>
  </si>
  <si>
    <r>
      <t>Daily</t>
    </r>
    <r>
      <rPr>
        <b/>
        <sz val="10"/>
        <rFont val="Arial"/>
        <family val="2"/>
      </rPr>
      <t xml:space="preserve"> Essentials3</t>
    </r>
  </si>
  <si>
    <t>Date to start lead up period</t>
  </si>
  <si>
    <t>Estimated food consumption per day</t>
  </si>
  <si>
    <t>Date to end breeding period</t>
  </si>
  <si>
    <t>Base Data - Your Birds</t>
  </si>
  <si>
    <t>Base Data - Your breeding season dates</t>
  </si>
  <si>
    <t>Maintenance period ends</t>
  </si>
  <si>
    <t>days</t>
  </si>
  <si>
    <t>weeks</t>
  </si>
  <si>
    <t>First maintenance period</t>
  </si>
  <si>
    <t>Todays date if before your lead up period starts</t>
  </si>
  <si>
    <t>Breeding season</t>
  </si>
  <si>
    <t>Second maintenance period</t>
  </si>
  <si>
    <t>and finishes</t>
  </si>
  <si>
    <t>It lasts this many days</t>
  </si>
  <si>
    <t>It lasts this many weeks</t>
  </si>
  <si>
    <t>Your maintenance period starts</t>
  </si>
  <si>
    <t>Estimated total daily food intake</t>
  </si>
  <si>
    <t>Product requirements summary for this period of maintenance</t>
  </si>
  <si>
    <t xml:space="preserve">Below are the supplements you feed (daily unless stated) in addition to seed. </t>
  </si>
  <si>
    <t>drops</t>
  </si>
  <si>
    <t>pinches</t>
  </si>
  <si>
    <t>If you wish to mix Feast in bulk with the powdered supplements these are the quantities to add to one kilo for this period.</t>
  </si>
  <si>
    <t>or BirdPark Essentials</t>
  </si>
  <si>
    <t>Your breeding period starts</t>
  </si>
  <si>
    <t>The amount of Feast to feed is detailed below. This is a rough guide only. You can feed more or less as you prefer.  During the breeding season Feast is a major contributor to your birds nutrition. Give at least this much. It is also the delivery medium for the supplements.</t>
  </si>
  <si>
    <t>25% of diet</t>
  </si>
  <si>
    <t>Breeding Season</t>
  </si>
  <si>
    <t>The period of maintenance before the lead up to breeding</t>
  </si>
  <si>
    <r>
      <t xml:space="preserve">Add </t>
    </r>
    <r>
      <rPr>
        <i/>
        <sz val="10"/>
        <color indexed="17"/>
        <rFont val="Arial"/>
        <family val="2"/>
      </rPr>
      <t xml:space="preserve">Potent Brew      </t>
    </r>
    <r>
      <rPr>
        <i/>
        <sz val="10"/>
        <color indexed="10"/>
        <rFont val="Arial"/>
        <family val="2"/>
      </rPr>
      <t>Daily</t>
    </r>
  </si>
  <si>
    <r>
      <t xml:space="preserve">ProBoost SuperMax          </t>
    </r>
    <r>
      <rPr>
        <i/>
        <sz val="10"/>
        <color indexed="10"/>
        <rFont val="Arial"/>
        <family val="2"/>
      </rPr>
      <t xml:space="preserve"> Daily</t>
    </r>
  </si>
  <si>
    <t>This part of the plan provides the supplementation required for the breeding adults. It will normally provide enough for chicks prior to weaning unless clutch sizes are exceptional. You may need to make extra provision for babies that have been weaned. They only require a maintenance diet. Remember this is a guide only.</t>
  </si>
  <si>
    <t>The period of maintenance after breeding</t>
  </si>
  <si>
    <t>This part of the plan provides the supplementation required for the your adults. You will need to make extra provision for babies that you are retaining during this period. Remember this is a guide only.</t>
  </si>
  <si>
    <t>Your lead-up period starts</t>
  </si>
  <si>
    <t>This part of the plan provides the supplementation required to bring the adults into breeding condition most effectively. Try to arrange the dates so that this period is a whole number of weeks. The maximum lead-up period allowed by this plan is 12 weeks.</t>
  </si>
  <si>
    <t>Week One</t>
  </si>
  <si>
    <t>Lead-Up period</t>
  </si>
  <si>
    <t>Week Two</t>
  </si>
  <si>
    <r>
      <t xml:space="preserve">Add </t>
    </r>
    <r>
      <rPr>
        <i/>
        <sz val="10"/>
        <color indexed="17"/>
        <rFont val="Arial"/>
        <family val="2"/>
      </rPr>
      <t xml:space="preserve">Potent Brew      </t>
    </r>
    <r>
      <rPr>
        <i/>
        <sz val="10"/>
        <color indexed="10"/>
        <rFont val="Arial"/>
        <family val="2"/>
      </rPr>
      <t>Once a week            Daily for last two weeks</t>
    </r>
  </si>
  <si>
    <t>Week Three</t>
  </si>
  <si>
    <t>Week Four</t>
  </si>
  <si>
    <t>Week Five</t>
  </si>
  <si>
    <t>Week Six</t>
  </si>
  <si>
    <t>Week Seven</t>
  </si>
  <si>
    <t>Week Eight</t>
  </si>
  <si>
    <t>Week Nine</t>
  </si>
  <si>
    <t>Week Ten</t>
  </si>
  <si>
    <t>Week Eleven</t>
  </si>
  <si>
    <t>Week Twelve</t>
  </si>
  <si>
    <t>Flourish</t>
  </si>
  <si>
    <t>BirdPark Essentials</t>
  </si>
  <si>
    <t>From</t>
  </si>
  <si>
    <t>to</t>
  </si>
  <si>
    <t>Lead up to breeding</t>
  </si>
  <si>
    <t>Check - this should equal 364 or 365</t>
  </si>
  <si>
    <t>kgs</t>
  </si>
  <si>
    <r>
      <t xml:space="preserve">Enter the dates you expect to start and finish your breeding season and when you intend to start bringing your birds into breeding condition. Enter dates as dd/mm/yyyy format.                                 </t>
    </r>
    <r>
      <rPr>
        <sz val="10"/>
        <color indexed="9"/>
        <rFont val="Arial"/>
        <family val="2"/>
      </rPr>
      <t xml:space="preserve">  .  </t>
    </r>
    <r>
      <rPr>
        <sz val="10"/>
        <rFont val="Arial"/>
        <family val="2"/>
      </rPr>
      <t xml:space="preserve">                                 We suggest a six to twelve week lead-up period if you have time for this before your next breeding season.                    </t>
    </r>
    <r>
      <rPr>
        <sz val="10"/>
        <color indexed="9"/>
        <rFont val="Arial"/>
        <family val="2"/>
      </rPr>
      <t xml:space="preserve">   .  </t>
    </r>
    <r>
      <rPr>
        <sz val="10"/>
        <rFont val="Arial"/>
        <family val="2"/>
      </rPr>
      <t xml:space="preserve">                                            It is a good idea to select your dates so that the lead up period is a whole number of weeks.</t>
    </r>
  </si>
  <si>
    <t>1 tsp = 3.5 grams</t>
  </si>
  <si>
    <t>How many babies do you hope to breed?</t>
  </si>
  <si>
    <t>You must fill in every dark yellow box on this page</t>
  </si>
  <si>
    <t>Lead-up period to breeding</t>
  </si>
  <si>
    <t>Assumes using the same water as adults</t>
  </si>
  <si>
    <t>Separated babies (breeding season plus 2nd maintenance)</t>
  </si>
  <si>
    <r>
      <t xml:space="preserve">Feast </t>
    </r>
    <r>
      <rPr>
        <b/>
        <sz val="8"/>
        <rFont val="Arial"/>
        <family val="2"/>
      </rPr>
      <t>(Gold Label or Insectivorous)</t>
    </r>
  </si>
  <si>
    <t>Welcome to Better Health and Better Breeding</t>
  </si>
  <si>
    <t>Mimicking wild diets</t>
  </si>
  <si>
    <t>Wild birds breed when the food quality is best for rearing chicks successfully. This is generally summer for temperate climates and wet seasons for tropical birds. This system enables you to match these seasonal changes with our products.</t>
  </si>
  <si>
    <t>Maximum nutrition for chick health, growth and survival</t>
  </si>
  <si>
    <t>Lead-up to breeding</t>
  </si>
  <si>
    <t>Bringing birds into breeding condition. This is a very important period</t>
  </si>
  <si>
    <t>This plan enables you to specify the dates that each of the periods start and finish, gives you instructions for how much of each product to use each day and calculates your annual requirements.</t>
  </si>
  <si>
    <t>Thirdly they are carefully designed to simulate the nutritional variation of seasonal, wild bird diets. This plan will help you to do this most effectively with your birds. The rewards can be extraordinary.</t>
  </si>
  <si>
    <t>Step-by-step instructions</t>
  </si>
  <si>
    <t>Fill in all the bright yellow boxes on the 'base data' page starting with your name and the species of birds the plan is for (cells A1 and B4). If you have a large variety of different species you may wish to have more than one plan. Note that there are different spreadsheets for finches/canaries, parakeets and larger parrots. These allow for the different amounts of food these groups consume.</t>
  </si>
  <si>
    <r>
      <t xml:space="preserve">Estimate your birds average weight and fill it into cell B5. Indicative weights for common species are given as a guide. Indicate the number of adult birds covered by this plan in cell B6. Note this is individuals </t>
    </r>
    <r>
      <rPr>
        <b/>
        <i/>
        <sz val="10"/>
        <rFont val="Arial"/>
        <family val="2"/>
      </rPr>
      <t>not</t>
    </r>
    <r>
      <rPr>
        <sz val="10"/>
        <rFont val="Arial"/>
        <family val="2"/>
      </rPr>
      <t xml:space="preserve"> pairs.</t>
    </r>
  </si>
  <si>
    <t>Estimate the number of baby birds you hope to produce in B12. This will help determine their supplement needs after they have been taken from their parents.</t>
  </si>
  <si>
    <t>Determine the date on which you want to start breeding and enter this in cell B23.</t>
  </si>
  <si>
    <t>You have now entered all the data.</t>
  </si>
  <si>
    <t>Interpreting the results</t>
  </si>
  <si>
    <t xml:space="preserve">1. The maintenance period before the breeder lead-up. </t>
  </si>
  <si>
    <t>2. The time spent bringing your birds into breeding condition (lead-up).</t>
  </si>
  <si>
    <t>This tells you how much of each product to feed your birds each day during this period. It provides some options too. Most breeders will use the six products in the top section. However some species will not eat soft foods (Feast) when not breeding. For these birds add the supplements to fresh foods (vegetables, fruits or soaked/sprouted seeds) and include Flourish in the system to provide health promoting herbs.</t>
  </si>
  <si>
    <t>These supplements are designed to be used in conjunction with 'traditional diets' which will include dry seeds, nuts, peas, beans and fresh foods like fruits and vegetables, soaked or sprouted seeds and live foods - all these depending on the species involved. You should not need any other supplements as our products are very comprehensive. Contact us if you need further guidance.</t>
  </si>
  <si>
    <t>Large collections may choose to use BirdPark Essentials instead of Daily Essentials3 as this is much more concentrated and so is more economical.</t>
  </si>
  <si>
    <t>During this period both the amounts of Feast and the amounts of ProBoost SuperMax vary each week. This mimics natural diet changes and is very important in improving breeding condition and subsequent fertility rates. Your birds may come into breeding condition quicker than 'normal'. Start breeding when they are ready not on the date you have nominated!</t>
  </si>
  <si>
    <t>3. Breeding season.</t>
  </si>
  <si>
    <t>Take care to note that Potent Brew changes from once a week to daily about two weeks prior to breeding. This product is a powerful breeder stimulant as well as having great benefits for the chicks later on.</t>
  </si>
  <si>
    <t>4. Feeding weaned babies</t>
  </si>
  <si>
    <t>5. Second maintenance period.</t>
  </si>
  <si>
    <t>Breeders requiring advice on this plan or sick bird problems should contact our free advice service:</t>
  </si>
  <si>
    <t>The Birdcare Company</t>
  </si>
  <si>
    <t>21-22 Spring Mill Ind Est</t>
  </si>
  <si>
    <t>Avening Road</t>
  </si>
  <si>
    <t>Nailsworth</t>
  </si>
  <si>
    <t>Glos</t>
  </si>
  <si>
    <t>GL6 0BS</t>
  </si>
  <si>
    <t>United Kingdom</t>
  </si>
  <si>
    <t>Tel: Int + 44 (0)1453 835330</t>
  </si>
  <si>
    <t>Fax: Int + 44 (0)1453 834302</t>
  </si>
  <si>
    <t xml:space="preserve">  or 0845 130 8600 (local call charge from UK phones only)</t>
  </si>
  <si>
    <t>E-mail:advice@BirdcareCo.com</t>
  </si>
  <si>
    <t>Web site: www.BirdcareCo.com (sections in English, French, German, Dutch and Finnish.)</t>
  </si>
  <si>
    <t>Second maintenance period and moult</t>
  </si>
  <si>
    <t>Once the babies have been removed from their parents they can be fed a maintenance diet. This section does not provide daily figures as this group will be changing in size and compostion as the season progresses. However it does contribute to the estimate of your annual supplements needs. Depending on how quickly you dispose of excess stock this may overestimate your needs. It assumes that you dispose of all excess stock within three months of the end of your breeding season.</t>
  </si>
  <si>
    <t>For many breeders this is is the period for moulting and or exhibiting. The proposed diet is excellent for these two circumstances. Exhibitors will benefit further from using Spark or Guardian Angel on their show teams. This period is fixed at 13 weeks for the calculation of your annual requirements.</t>
  </si>
  <si>
    <t>Product Guide - Breeders</t>
  </si>
  <si>
    <t>Product</t>
  </si>
  <si>
    <t>Function</t>
  </si>
  <si>
    <t>Key ingredients</t>
  </si>
  <si>
    <t>Vitamins</t>
  </si>
  <si>
    <t>Immune system support</t>
  </si>
  <si>
    <t>Digestive system support</t>
  </si>
  <si>
    <t>Limiting amino acids</t>
  </si>
  <si>
    <t>General health</t>
  </si>
  <si>
    <t>Stress free moults</t>
  </si>
  <si>
    <t>Trace minerals (high bio-availability)</t>
  </si>
  <si>
    <t>Efficient nerve and muscle function</t>
  </si>
  <si>
    <t>High bio-availability calcium</t>
  </si>
  <si>
    <t>Magnesium</t>
  </si>
  <si>
    <t>Vitamin D3</t>
  </si>
  <si>
    <t>Strong bones</t>
  </si>
  <si>
    <t>Efficient calcium control</t>
  </si>
  <si>
    <t>No alternative</t>
  </si>
  <si>
    <t>Stimulate breeding response</t>
  </si>
  <si>
    <t>Boost fertility</t>
  </si>
  <si>
    <t>Increase clutch sizes</t>
  </si>
  <si>
    <t>Improved shell quality and hatchability</t>
  </si>
  <si>
    <t>Fitter hens (more rounds per hen possible)</t>
  </si>
  <si>
    <t>Prevention of behavioural problems</t>
  </si>
  <si>
    <t>The foundation of the system (39 ingredients)</t>
  </si>
  <si>
    <t>(for large collections)</t>
  </si>
  <si>
    <t>Chick health</t>
  </si>
  <si>
    <t>Chick growth rate (close ring (band) younger)</t>
  </si>
  <si>
    <t>High value protein</t>
  </si>
  <si>
    <t>Extra vitamin E</t>
  </si>
  <si>
    <t>Herbal health support</t>
  </si>
  <si>
    <t>Stimulate breeder response</t>
  </si>
  <si>
    <t>Chick health and growth</t>
  </si>
  <si>
    <t>Improve feeding by inexperienced parents</t>
  </si>
  <si>
    <t>Planktonic beneficial bacteria</t>
  </si>
  <si>
    <t>Enzymes</t>
  </si>
  <si>
    <t>Water hygiene</t>
  </si>
  <si>
    <t>Disease control</t>
  </si>
  <si>
    <t>Water sanitiser</t>
  </si>
  <si>
    <t>(where liquid product impractical)</t>
  </si>
  <si>
    <t>Disinfectant for cages</t>
  </si>
  <si>
    <t>Biodegradeable, broad spectrum disinfectant</t>
  </si>
  <si>
    <t>Detergents</t>
  </si>
  <si>
    <r>
      <t xml:space="preserve">Feast </t>
    </r>
    <r>
      <rPr>
        <sz val="10"/>
        <rFont val="Arial"/>
        <family val="2"/>
      </rPr>
      <t>(various varieties)</t>
    </r>
  </si>
  <si>
    <t>Palatable carrier for supplements</t>
  </si>
  <si>
    <t>Boost major nutrients for breeders</t>
  </si>
  <si>
    <t>(for birds not eating soft foods)</t>
  </si>
  <si>
    <t>Gold Label Hand Rearing Foods</t>
  </si>
  <si>
    <t>Hand rearing babies</t>
  </si>
  <si>
    <t>Formula Plus</t>
  </si>
  <si>
    <t>Other useful breeder products</t>
  </si>
  <si>
    <t>Comprehensive nutrient and health supplementation</t>
  </si>
  <si>
    <t>Product Guide - Sick Birds</t>
  </si>
  <si>
    <t>Guardian Angel</t>
  </si>
  <si>
    <t>First choice product for any bird showing signs of illness</t>
  </si>
  <si>
    <t>White cell support' (immune system)</t>
  </si>
  <si>
    <t>Treatment and prevention of a wide range of illnesses</t>
  </si>
  <si>
    <t>Beneficial bacteria (digestive system)</t>
  </si>
  <si>
    <t>Prevents dehydration</t>
  </si>
  <si>
    <t>Electrolytes</t>
  </si>
  <si>
    <t>Energy support</t>
  </si>
  <si>
    <t>Long term energy</t>
  </si>
  <si>
    <t>Trace minerals</t>
  </si>
  <si>
    <t>Calcium</t>
  </si>
  <si>
    <t>Herbal prebiotics (digestive system)</t>
  </si>
  <si>
    <t>Complete protein</t>
  </si>
  <si>
    <t>Feeds sick birds even when digestive function impaired</t>
  </si>
  <si>
    <t>Compatible with anti-biotics (drugs)</t>
  </si>
  <si>
    <t>Best given by crop tube (gavage)</t>
  </si>
  <si>
    <t>In food or water (water preferred for small birds)</t>
  </si>
  <si>
    <t>Wheeze-Eeze</t>
  </si>
  <si>
    <t>Eases breathing</t>
  </si>
  <si>
    <t>Treats some respiratory infections</t>
  </si>
  <si>
    <t>Specially selected herbal blend</t>
  </si>
  <si>
    <t>Contact us or an experienced avian vet if symptoms persist.</t>
  </si>
  <si>
    <t>Extra Flourish is safe to give to birds when extra immune support is required.</t>
  </si>
  <si>
    <t>Feather-Up</t>
  </si>
  <si>
    <t>As Daily Essentials3 but with added high value protein</t>
  </si>
  <si>
    <t>Some plucking (a minority) are toxicity or infection related. Persistant problems require veterinary investigation.</t>
  </si>
  <si>
    <t>The totals at the bottom of this page are only to estimate the supplements you will require for these birds for the breeding season and the second maintenance period. To estimate the daily requirements as the season progresses enter the number of weaned chicks (separated from their parents) that you need to feed into the yellow box below. Tou will need to update this page as the breeding season progresses and you have more weaned babies. As you sell stock you will need to reduce this number.</t>
  </si>
  <si>
    <t>Product requirements summary for the baby birds in the rest of the breeding and the second period of maintenance. Very rough estimate!</t>
  </si>
  <si>
    <t xml:space="preserve">Birds are designed to cope with variations in the quality of the food they eat. Their requirements are not totally precise. This program produces very precise figures. Please use them as a guideline and do not get too worried about accuracy. Birdcare Company supplements are very safe. They can be used well above the recommended levels without risk.                 The program divides your supplements needs into five groups. </t>
  </si>
  <si>
    <t>All you need to do is fill in the nine yellow boxes on the base data page. Everything else is calculated for you. If you have any problems contact us for help: e-mail: advice@BirdcareCo.com, Tel Int + 44 (0)1453 835330, Fax Int + 44(0)1453 834302.</t>
  </si>
  <si>
    <r>
      <t xml:space="preserve">The Birdcare Company's supplements system is completely different to traditional supplements. Firstly they are incredibly comprehensive. You will no longer have to buy lots of different individual supplements to plug the gaps in your birds' diets. In fact our five nutritional products provide better nutrition than diets cobbled together from a combination of human, animal and bird supplements used by many experienced Continental bird keepers.                                                                                                                                                                                                           </t>
    </r>
    <r>
      <rPr>
        <sz val="10"/>
        <color indexed="9"/>
        <rFont val="Arial"/>
        <family val="2"/>
      </rPr>
      <t xml:space="preserve">.  </t>
    </r>
    <r>
      <rPr>
        <sz val="10"/>
        <rFont val="Arial"/>
        <family val="0"/>
      </rPr>
      <t xml:space="preserve">                                                                                                                                                                                                                                                                 </t>
    </r>
  </si>
  <si>
    <t xml:space="preserve">Secondly they are made from ingredients that more closely match the form of nutrients your birds get in the wild. We are passionate about getting nutrients out of the gut and into the bloodstream by using highly bio-available (chelated) minerals and other more natural ingredients. This strongly differentiates our products from most other bird supplements.           </t>
  </si>
  <si>
    <r>
      <t xml:space="preserve">Add </t>
    </r>
    <r>
      <rPr>
        <i/>
        <sz val="10"/>
        <color indexed="17"/>
        <rFont val="Arial"/>
        <family val="2"/>
      </rPr>
      <t xml:space="preserve">Potent Brew                </t>
    </r>
    <r>
      <rPr>
        <i/>
        <sz val="10"/>
        <color indexed="10"/>
        <rFont val="Arial"/>
        <family val="2"/>
      </rPr>
      <t>Once a week            Daily for last two weeks</t>
    </r>
  </si>
  <si>
    <t>Each page also provides some alternative product options. Large flocks will find BirdPark Essentials more economical to use than Daily Essentials3. Some people use BioPlus for maintenance but the more effective Potent Brew for lead-up and breeding. Some species will not eat soft foods (like Feast) or are only seasonal feeders on such foods. For these birds Flourish added to soaked seeds or fresh fruits and veggetables is a viable alternative.</t>
  </si>
  <si>
    <t>Survive</t>
  </si>
  <si>
    <t>Similar to Guardian Angel but use Survive where birds are not eating enough and losing weight rapidly</t>
  </si>
  <si>
    <t>The Birdcare Company system is designed to mimic wild bird diets as they improve leading up to the breeding season. We recommend this should process should take about twelve weeks for birds that live in fairly stable environments (like forests) and perhaps six weeks for birds from dryer environments. If you enter nothing this will default to eight weeks. Enter the number of weeks you want in cell C20.</t>
  </si>
  <si>
    <t>Enter the number of weeks you want to breed for in cell C26. This will calculate the date to end your breeding season.</t>
  </si>
  <si>
    <t xml:space="preserve">By now your birds are on the full breeder diet. Change Calcivet to five days a week as soon as egg laying commences. This will increase clutch sizes and ensure excellent hens strength and vitality. Continue all adults and birds rearing chicks on this diet all the way through the reeding season. </t>
  </si>
  <si>
    <t>Calcivet</t>
  </si>
  <si>
    <t>Liquids must be added to Feast daily. You may wish to dilute Calcivet before adding to the Feast. Alternatively add the Calcivet and Potent Brew to a moist food like grated carrot or soaked seeds and then use them to moisten the Feast. Feast should be crumbly not wet.</t>
  </si>
  <si>
    <t>The amount of Feast to feed is detailed below. This is a rough guide only. You can feed more or less as you prefer.  The main objective of the Feast at this time of year is to provide a food to which you can add the Daily Essentials3, Calcivet and Potent Brew or BioPlus (it also provides herbal health support). If the birds will not eat this much Feast then reduce the amount but leave the supplement quantities the same.</t>
  </si>
  <si>
    <t>Add Calcivet                  Once a week               (no alternate)</t>
  </si>
  <si>
    <t>For Greys and eclectus use Calcivet twice a week and double these quantities</t>
  </si>
  <si>
    <t>Calcivet                      (no alternate)</t>
  </si>
  <si>
    <t>After weaning your babies need a maintenance diet. Extra Calcivet and Potent Brew may be required if stress levels are high.</t>
  </si>
  <si>
    <t>Bird vets report that 70-90% of the patients they see are sick because they have not been well enough fed. Daily Essentials3, Calcivet, Feast (or Flourish) are fundamental to good health. Use these sick bird products in addition to those primary products.</t>
  </si>
  <si>
    <t>Birds that have not been given Calcivet routinely should be introduced to it at the rate of five days a week for one month then dropped to once or twice a week thereafter. Calcium deficincy is the most common deficiency problem in captive birds.</t>
  </si>
  <si>
    <t>Use for stubborn moulting problems. Always in conjunction with Calcivet</t>
  </si>
  <si>
    <t>For feather plucking and other self mutilation use Feather-Up, Calcivet and Potent Brew. These birds need de-stressing (Calcivet and Potent Brew) and given the nutrients required for efficient feather production. There may be training issues too. Contact us for advice.</t>
  </si>
  <si>
    <t>Avisafe</t>
  </si>
  <si>
    <t>Estimate your daily water usage in B8. As all the supplements go into foods this only determines the quantity of Aviclens you will require. Include drinking water, bathing water and any water used for soaking/sproating seeds.</t>
  </si>
  <si>
    <t>Aviclens</t>
  </si>
  <si>
    <t>Aviclens (no alternate)</t>
  </si>
  <si>
    <t>Aviclens                     (no alternate)</t>
  </si>
  <si>
    <t>Aviclens                     Daily</t>
  </si>
  <si>
    <t>Aviclens                  Daily</t>
  </si>
  <si>
    <r>
      <t xml:space="preserve">                                                                                               Indicative bird weights:                                                                                                                              </t>
    </r>
    <r>
      <rPr>
        <sz val="9"/>
        <rFont val="Arial"/>
        <family val="2"/>
      </rPr>
      <t xml:space="preserve">Gouldian Finch 15g                                                  Zebra finch (exhibition) 25g                                            Canary 25-35g                                                         </t>
    </r>
  </si>
  <si>
    <r>
      <t xml:space="preserve">heaped </t>
    </r>
    <r>
      <rPr>
        <sz val="10"/>
        <color indexed="10"/>
        <rFont val="Arial"/>
        <family val="2"/>
      </rPr>
      <t>teaspoons</t>
    </r>
  </si>
  <si>
    <t>1 tsp =2.8 grams</t>
  </si>
  <si>
    <t>Your name</t>
  </si>
  <si>
    <t>Canary/Sparrow/Finches</t>
  </si>
  <si>
    <t>Calcivet Powder</t>
  </si>
  <si>
    <t xml:space="preserve">Add Calcivet                  Once a week </t>
  </si>
  <si>
    <t>Add Calcivet                  One day a week</t>
  </si>
  <si>
    <t>Add Calcivet                  Five days a week</t>
  </si>
  <si>
    <t>Add Calcivet                  Once a week</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</si>
</sst>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
    <numFmt numFmtId="175" formatCode="0.0000"/>
    <numFmt numFmtId="176" formatCode="0.00000000"/>
    <numFmt numFmtId="177" formatCode="0.0000000"/>
    <numFmt numFmtId="178" formatCode="0.000000"/>
    <numFmt numFmtId="179" formatCode="0\g"/>
    <numFmt numFmtId="180" formatCode="0,000\g"/>
  </numFmts>
  <fonts count="60">
    <font>
      <sz val="10"/>
      <name val="Arial"/>
      <family val="0"/>
    </font>
    <font>
      <b/>
      <sz val="12"/>
      <name val="Arial"/>
      <family val="2"/>
    </font>
    <font>
      <sz val="8"/>
      <color indexed="17"/>
      <name val="Arial"/>
      <family val="2"/>
    </font>
    <font>
      <sz val="10"/>
      <color indexed="17"/>
      <name val="Arial"/>
      <family val="2"/>
    </font>
    <font>
      <sz val="8"/>
      <color indexed="10"/>
      <name val="Arial"/>
      <family val="2"/>
    </font>
    <font>
      <sz val="10"/>
      <color indexed="10"/>
      <name val="Arial"/>
      <family val="2"/>
    </font>
    <font>
      <i/>
      <sz val="10"/>
      <color indexed="10"/>
      <name val="Arial"/>
      <family val="2"/>
    </font>
    <font>
      <i/>
      <sz val="10"/>
      <color indexed="17"/>
      <name val="Arial"/>
      <family val="2"/>
    </font>
    <font>
      <sz val="10"/>
      <color indexed="12"/>
      <name val="Arial"/>
      <family val="2"/>
    </font>
    <font>
      <b/>
      <sz val="8"/>
      <name val="Arial"/>
      <family val="2"/>
    </font>
    <font>
      <b/>
      <sz val="14"/>
      <name val="Arial"/>
      <family val="2"/>
    </font>
    <font>
      <b/>
      <sz val="10"/>
      <name val="Arial"/>
      <family val="2"/>
    </font>
    <font>
      <b/>
      <sz val="10"/>
      <color indexed="12"/>
      <name val="Arial"/>
      <family val="2"/>
    </font>
    <font>
      <b/>
      <sz val="10"/>
      <color indexed="10"/>
      <name val="Arial"/>
      <family val="2"/>
    </font>
    <font>
      <b/>
      <sz val="12"/>
      <color indexed="10"/>
      <name val="Arial"/>
      <family val="2"/>
    </font>
    <font>
      <b/>
      <sz val="10"/>
      <color indexed="23"/>
      <name val="Arial"/>
      <family val="2"/>
    </font>
    <font>
      <b/>
      <sz val="10"/>
      <color indexed="17"/>
      <name val="Arial"/>
      <family val="2"/>
    </font>
    <font>
      <b/>
      <i/>
      <sz val="10"/>
      <name val="Arial"/>
      <family val="2"/>
    </font>
    <font>
      <sz val="14"/>
      <name val="Arial"/>
      <family val="2"/>
    </font>
    <font>
      <b/>
      <sz val="14"/>
      <color indexed="10"/>
      <name val="Arial"/>
      <family val="2"/>
    </font>
    <font>
      <sz val="10"/>
      <color indexed="9"/>
      <name val="Arial"/>
      <family val="2"/>
    </font>
    <font>
      <b/>
      <sz val="12"/>
      <color indexed="17"/>
      <name val="Arial"/>
      <family val="2"/>
    </font>
    <font>
      <sz val="8"/>
      <name val="Arial"/>
      <family val="2"/>
    </font>
    <font>
      <b/>
      <sz val="9"/>
      <name val="Arial"/>
      <family val="2"/>
    </font>
    <font>
      <sz val="9"/>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1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438">
    <xf numFmtId="0" fontId="0" fillId="0" borderId="0" xfId="0" applyAlignment="1">
      <alignment/>
    </xf>
    <xf numFmtId="0" fontId="0" fillId="0" borderId="0" xfId="0" applyAlignment="1">
      <alignment horizontal="center"/>
    </xf>
    <xf numFmtId="0" fontId="5" fillId="0" borderId="0" xfId="0" applyFont="1" applyBorder="1" applyAlignment="1">
      <alignment horizontal="center"/>
    </xf>
    <xf numFmtId="0" fontId="5" fillId="0" borderId="0" xfId="0" applyFont="1" applyBorder="1" applyAlignment="1">
      <alignment horizontal="left"/>
    </xf>
    <xf numFmtId="172" fontId="5" fillId="0" borderId="0" xfId="0" applyNumberFormat="1" applyFont="1" applyBorder="1" applyAlignment="1">
      <alignment horizontal="right"/>
    </xf>
    <xf numFmtId="0" fontId="0" fillId="0" borderId="0" xfId="0" applyFont="1" applyAlignment="1">
      <alignment/>
    </xf>
    <xf numFmtId="0" fontId="8" fillId="0" borderId="0" xfId="0" applyFont="1" applyFill="1" applyAlignment="1">
      <alignment/>
    </xf>
    <xf numFmtId="172" fontId="3" fillId="33" borderId="10" xfId="0" applyNumberFormat="1" applyFont="1" applyFill="1" applyBorder="1" applyAlignment="1">
      <alignment/>
    </xf>
    <xf numFmtId="172" fontId="3" fillId="33" borderId="11" xfId="0" applyNumberFormat="1" applyFont="1" applyFill="1" applyBorder="1" applyAlignment="1">
      <alignment/>
    </xf>
    <xf numFmtId="0" fontId="11" fillId="0" borderId="0" xfId="0" applyFont="1" applyBorder="1" applyAlignment="1">
      <alignment horizontal="left" vertical="top" wrapText="1"/>
    </xf>
    <xf numFmtId="0" fontId="11" fillId="0" borderId="0" xfId="0" applyFont="1" applyAlignment="1">
      <alignment horizontal="center"/>
    </xf>
    <xf numFmtId="0" fontId="0" fillId="0" borderId="0" xfId="0" applyAlignment="1">
      <alignment vertical="center"/>
    </xf>
    <xf numFmtId="0" fontId="11" fillId="0" borderId="0" xfId="0" applyFont="1" applyAlignment="1">
      <alignment horizontal="center" vertical="center" wrapText="1"/>
    </xf>
    <xf numFmtId="0" fontId="0" fillId="0" borderId="0" xfId="0" applyFont="1" applyAlignment="1">
      <alignment horizontal="center"/>
    </xf>
    <xf numFmtId="0" fontId="11" fillId="34" borderId="12" xfId="0" applyFont="1" applyFill="1" applyBorder="1" applyAlignment="1">
      <alignment horizontal="left" vertical="center" wrapText="1"/>
    </xf>
    <xf numFmtId="0" fontId="11" fillId="0" borderId="0" xfId="0" applyFont="1" applyAlignment="1">
      <alignment/>
    </xf>
    <xf numFmtId="1" fontId="3" fillId="0" borderId="0" xfId="0" applyNumberFormat="1" applyFont="1" applyFill="1" applyBorder="1" applyAlignment="1">
      <alignment horizontal="center"/>
    </xf>
    <xf numFmtId="0" fontId="3" fillId="0" borderId="0" xfId="0" applyFont="1" applyFill="1" applyBorder="1" applyAlignment="1">
      <alignment horizontal="left"/>
    </xf>
    <xf numFmtId="172" fontId="3"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 fontId="0" fillId="35" borderId="11" xfId="0" applyNumberFormat="1" applyFill="1" applyBorder="1" applyAlignment="1">
      <alignment vertical="center"/>
    </xf>
    <xf numFmtId="1" fontId="0" fillId="35" borderId="10" xfId="0" applyNumberFormat="1" applyFill="1" applyBorder="1" applyAlignment="1">
      <alignment vertical="center"/>
    </xf>
    <xf numFmtId="1" fontId="11" fillId="34" borderId="11" xfId="0" applyNumberFormat="1" applyFont="1" applyFill="1" applyBorder="1" applyAlignment="1">
      <alignment vertical="center"/>
    </xf>
    <xf numFmtId="1" fontId="11" fillId="34" borderId="10" xfId="0" applyNumberFormat="1" applyFont="1" applyFill="1" applyBorder="1" applyAlignment="1">
      <alignment vertical="center"/>
    </xf>
    <xf numFmtId="1" fontId="0" fillId="33" borderId="11" xfId="0" applyNumberFormat="1" applyFill="1" applyBorder="1" applyAlignment="1">
      <alignment vertical="center"/>
    </xf>
    <xf numFmtId="1" fontId="0" fillId="33" borderId="10" xfId="0" applyNumberFormat="1" applyFill="1" applyBorder="1" applyAlignment="1">
      <alignment vertical="center"/>
    </xf>
    <xf numFmtId="1" fontId="11" fillId="36" borderId="11" xfId="0" applyNumberFormat="1" applyFont="1" applyFill="1" applyBorder="1" applyAlignment="1">
      <alignment vertical="center"/>
    </xf>
    <xf numFmtId="1" fontId="11" fillId="36" borderId="10" xfId="0" applyNumberFormat="1" applyFont="1" applyFill="1" applyBorder="1" applyAlignment="1">
      <alignment vertical="center"/>
    </xf>
    <xf numFmtId="172" fontId="3" fillId="37" borderId="11" xfId="0" applyNumberFormat="1" applyFont="1" applyFill="1" applyBorder="1" applyAlignment="1">
      <alignment/>
    </xf>
    <xf numFmtId="172" fontId="3" fillId="37" borderId="10" xfId="0" applyNumberFormat="1" applyFont="1" applyFill="1" applyBorder="1" applyAlignment="1">
      <alignment/>
    </xf>
    <xf numFmtId="1" fontId="3" fillId="37" borderId="11" xfId="0" applyNumberFormat="1" applyFont="1" applyFill="1" applyBorder="1" applyAlignment="1">
      <alignment/>
    </xf>
    <xf numFmtId="0" fontId="3" fillId="37" borderId="10" xfId="0" applyFont="1" applyFill="1" applyBorder="1" applyAlignment="1">
      <alignment horizontal="left"/>
    </xf>
    <xf numFmtId="0" fontId="3" fillId="33" borderId="10" xfId="0" applyFont="1" applyFill="1" applyBorder="1" applyAlignment="1">
      <alignment/>
    </xf>
    <xf numFmtId="172" fontId="3" fillId="37" borderId="11" xfId="0" applyNumberFormat="1" applyFont="1" applyFill="1" applyBorder="1" applyAlignment="1">
      <alignment horizontal="right"/>
    </xf>
    <xf numFmtId="172" fontId="3" fillId="37" borderId="10" xfId="0" applyNumberFormat="1" applyFont="1" applyFill="1" applyBorder="1" applyAlignment="1">
      <alignment horizontal="left"/>
    </xf>
    <xf numFmtId="172" fontId="3" fillId="33" borderId="11" xfId="0" applyNumberFormat="1" applyFont="1" applyFill="1" applyBorder="1" applyAlignment="1">
      <alignment horizontal="right"/>
    </xf>
    <xf numFmtId="0" fontId="0" fillId="0" borderId="13" xfId="0" applyFont="1" applyFill="1" applyBorder="1" applyAlignment="1">
      <alignment/>
    </xf>
    <xf numFmtId="0" fontId="0" fillId="0" borderId="14" xfId="0" applyFont="1" applyFill="1" applyBorder="1" applyAlignment="1">
      <alignment/>
    </xf>
    <xf numFmtId="0" fontId="0" fillId="0" borderId="0" xfId="0" applyFont="1" applyFill="1" applyAlignment="1">
      <alignment horizontal="left" vertical="top" wrapText="1"/>
    </xf>
    <xf numFmtId="0" fontId="11" fillId="0" borderId="0" xfId="0" applyFont="1" applyBorder="1" applyAlignment="1">
      <alignment horizontal="left" vertical="center" wrapText="1"/>
    </xf>
    <xf numFmtId="0" fontId="0" fillId="0" borderId="15" xfId="0" applyFont="1" applyBorder="1" applyAlignment="1">
      <alignment horizontal="left"/>
    </xf>
    <xf numFmtId="0" fontId="5" fillId="36" borderId="0" xfId="0" applyFont="1" applyFill="1" applyBorder="1" applyAlignment="1">
      <alignment horizontal="right"/>
    </xf>
    <xf numFmtId="0" fontId="8" fillId="0" borderId="16" xfId="0" applyFont="1" applyBorder="1" applyAlignment="1">
      <alignment horizontal="left"/>
    </xf>
    <xf numFmtId="1" fontId="8" fillId="0" borderId="0" xfId="0" applyNumberFormat="1" applyFont="1" applyBorder="1" applyAlignment="1">
      <alignment horizontal="right"/>
    </xf>
    <xf numFmtId="0" fontId="8" fillId="0" borderId="17" xfId="0" applyFont="1" applyBorder="1" applyAlignment="1">
      <alignment horizontal="left"/>
    </xf>
    <xf numFmtId="0" fontId="8" fillId="0" borderId="0" xfId="0" applyFont="1" applyBorder="1" applyAlignment="1">
      <alignment horizontal="lef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righ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right"/>
    </xf>
    <xf numFmtId="0" fontId="0" fillId="0" borderId="0" xfId="0" applyFont="1" applyBorder="1" applyAlignment="1">
      <alignment horizontal="center"/>
    </xf>
    <xf numFmtId="0" fontId="12" fillId="0" borderId="0" xfId="0" applyFont="1" applyBorder="1" applyAlignment="1">
      <alignment horizontal="left" wrapText="1"/>
    </xf>
    <xf numFmtId="0" fontId="12" fillId="0" borderId="18" xfId="0" applyFont="1" applyBorder="1" applyAlignment="1">
      <alignment/>
    </xf>
    <xf numFmtId="0" fontId="12" fillId="0" borderId="14" xfId="0" applyFont="1" applyBorder="1" applyAlignment="1">
      <alignment/>
    </xf>
    <xf numFmtId="0" fontId="11" fillId="0" borderId="15" xfId="0" applyFont="1" applyBorder="1" applyAlignment="1">
      <alignment horizontal="left" wrapText="1"/>
    </xf>
    <xf numFmtId="0" fontId="11" fillId="0" borderId="17" xfId="0" applyFont="1" applyBorder="1" applyAlignment="1">
      <alignment horizontal="left" wrapText="1"/>
    </xf>
    <xf numFmtId="0" fontId="11" fillId="0" borderId="10" xfId="0" applyFont="1" applyBorder="1" applyAlignment="1">
      <alignment horizontal="left" wrapText="1"/>
    </xf>
    <xf numFmtId="0" fontId="11" fillId="0" borderId="0" xfId="0" applyFont="1" applyBorder="1" applyAlignment="1">
      <alignment/>
    </xf>
    <xf numFmtId="15" fontId="5" fillId="36" borderId="0" xfId="0" applyNumberFormat="1" applyFont="1" applyFill="1" applyBorder="1" applyAlignment="1">
      <alignment horizontal="left" wrapText="1"/>
    </xf>
    <xf numFmtId="1" fontId="3" fillId="0" borderId="0" xfId="0" applyNumberFormat="1" applyFont="1" applyBorder="1" applyAlignment="1">
      <alignment/>
    </xf>
    <xf numFmtId="1" fontId="3" fillId="0" borderId="0" xfId="0" applyNumberFormat="1" applyFont="1" applyBorder="1" applyAlignment="1">
      <alignment horizontal="left" wrapText="1"/>
    </xf>
    <xf numFmtId="1" fontId="0" fillId="0" borderId="0" xfId="0" applyNumberFormat="1" applyFont="1" applyAlignment="1">
      <alignment/>
    </xf>
    <xf numFmtId="0" fontId="11" fillId="0" borderId="10" xfId="0" applyFont="1" applyBorder="1" applyAlignment="1">
      <alignment/>
    </xf>
    <xf numFmtId="0" fontId="13" fillId="0" borderId="14" xfId="0" applyFont="1" applyBorder="1" applyAlignment="1">
      <alignment horizontal="center" wrapText="1"/>
    </xf>
    <xf numFmtId="0" fontId="13" fillId="0" borderId="0" xfId="0" applyFont="1" applyBorder="1" applyAlignment="1">
      <alignment horizontal="center" wrapText="1"/>
    </xf>
    <xf numFmtId="0" fontId="0" fillId="0" borderId="0" xfId="0" applyFont="1" applyBorder="1" applyAlignment="1">
      <alignment/>
    </xf>
    <xf numFmtId="0" fontId="11" fillId="0" borderId="14" xfId="0" applyFont="1" applyBorder="1" applyAlignment="1">
      <alignment horizontal="left" wrapText="1"/>
    </xf>
    <xf numFmtId="0" fontId="11" fillId="0" borderId="0" xfId="0" applyFont="1" applyBorder="1" applyAlignment="1">
      <alignment horizontal="left" wrapText="1"/>
    </xf>
    <xf numFmtId="0" fontId="11" fillId="0" borderId="14" xfId="0" applyFont="1" applyBorder="1" applyAlignment="1">
      <alignment/>
    </xf>
    <xf numFmtId="0" fontId="3" fillId="0" borderId="0" xfId="0" applyFont="1" applyBorder="1" applyAlignment="1">
      <alignment horizontal="left"/>
    </xf>
    <xf numFmtId="1" fontId="0" fillId="0" borderId="0" xfId="0" applyNumberFormat="1" applyFont="1" applyBorder="1" applyAlignment="1">
      <alignment/>
    </xf>
    <xf numFmtId="0" fontId="0" fillId="0" borderId="19" xfId="0" applyNumberFormat="1" applyFont="1" applyBorder="1" applyAlignment="1">
      <alignment horizontal="right"/>
    </xf>
    <xf numFmtId="1" fontId="8" fillId="0" borderId="0" xfId="0" applyNumberFormat="1" applyFont="1" applyBorder="1" applyAlignment="1">
      <alignment horizontal="right" wrapText="1"/>
    </xf>
    <xf numFmtId="0" fontId="0" fillId="0" borderId="10" xfId="0" applyFont="1" applyBorder="1" applyAlignment="1">
      <alignment/>
    </xf>
    <xf numFmtId="0" fontId="8" fillId="35" borderId="16" xfId="0" applyNumberFormat="1" applyFont="1" applyFill="1" applyBorder="1" applyAlignment="1">
      <alignment/>
    </xf>
    <xf numFmtId="0" fontId="12" fillId="33" borderId="18" xfId="0" applyFont="1" applyFill="1" applyBorder="1" applyAlignment="1">
      <alignment horizontal="left" wrapText="1"/>
    </xf>
    <xf numFmtId="0" fontId="12" fillId="33" borderId="14" xfId="0" applyFont="1" applyFill="1" applyBorder="1" applyAlignment="1">
      <alignment horizontal="left" wrapText="1"/>
    </xf>
    <xf numFmtId="0" fontId="0" fillId="33" borderId="0" xfId="0" applyNumberFormat="1" applyFont="1" applyFill="1" applyBorder="1" applyAlignment="1">
      <alignment horizontal="right"/>
    </xf>
    <xf numFmtId="0" fontId="0" fillId="33" borderId="16" xfId="0" applyNumberFormat="1" applyFont="1" applyFill="1" applyBorder="1" applyAlignment="1">
      <alignment/>
    </xf>
    <xf numFmtId="0" fontId="0" fillId="33" borderId="16" xfId="0" applyFont="1" applyFill="1" applyBorder="1" applyAlignment="1">
      <alignment/>
    </xf>
    <xf numFmtId="0" fontId="8" fillId="33" borderId="16" xfId="0" applyNumberFormat="1" applyFont="1" applyFill="1" applyBorder="1" applyAlignment="1">
      <alignment/>
    </xf>
    <xf numFmtId="15" fontId="8" fillId="35" borderId="0" xfId="0" applyNumberFormat="1" applyFont="1" applyFill="1" applyBorder="1" applyAlignment="1">
      <alignment horizontal="left"/>
    </xf>
    <xf numFmtId="2" fontId="8" fillId="35" borderId="0" xfId="0" applyNumberFormat="1" applyFont="1" applyFill="1" applyBorder="1" applyAlignment="1">
      <alignment horizontal="right"/>
    </xf>
    <xf numFmtId="0" fontId="5" fillId="0" borderId="0" xfId="0" applyFont="1" applyFill="1" applyBorder="1" applyAlignment="1">
      <alignment/>
    </xf>
    <xf numFmtId="0" fontId="13" fillId="0" borderId="0" xfId="0" applyFont="1" applyAlignment="1">
      <alignment wrapText="1"/>
    </xf>
    <xf numFmtId="0" fontId="18" fillId="0" borderId="0" xfId="0" applyFont="1" applyFill="1" applyAlignment="1">
      <alignment/>
    </xf>
    <xf numFmtId="0" fontId="12" fillId="35" borderId="18" xfId="0" applyFont="1" applyFill="1" applyBorder="1" applyAlignment="1">
      <alignment horizontal="left" wrapText="1"/>
    </xf>
    <xf numFmtId="0" fontId="8" fillId="33" borderId="0" xfId="0" applyFont="1" applyFill="1" applyBorder="1" applyAlignment="1">
      <alignment horizontal="center"/>
    </xf>
    <xf numFmtId="2" fontId="8" fillId="33" borderId="0" xfId="0" applyNumberFormat="1" applyFont="1" applyFill="1" applyBorder="1" applyAlignment="1">
      <alignment horizontal="right"/>
    </xf>
    <xf numFmtId="0" fontId="0" fillId="35" borderId="0" xfId="0" applyFont="1" applyFill="1" applyBorder="1" applyAlignment="1">
      <alignment horizontal="right"/>
    </xf>
    <xf numFmtId="0" fontId="0" fillId="35" borderId="0" xfId="0" applyNumberFormat="1" applyFont="1" applyFill="1" applyBorder="1" applyAlignment="1">
      <alignment horizontal="right"/>
    </xf>
    <xf numFmtId="0" fontId="0" fillId="35" borderId="16" xfId="0" applyFont="1" applyFill="1" applyBorder="1" applyAlignment="1">
      <alignment/>
    </xf>
    <xf numFmtId="2" fontId="8" fillId="35" borderId="13" xfId="0" applyNumberFormat="1" applyFont="1" applyFill="1" applyBorder="1" applyAlignment="1">
      <alignment horizontal="right"/>
    </xf>
    <xf numFmtId="0" fontId="8" fillId="35" borderId="15" xfId="0" applyNumberFormat="1" applyFont="1" applyFill="1" applyBorder="1" applyAlignment="1">
      <alignment/>
    </xf>
    <xf numFmtId="15" fontId="5" fillId="33" borderId="0" xfId="0" applyNumberFormat="1" applyFont="1" applyFill="1" applyBorder="1" applyAlignment="1">
      <alignment horizontal="left" wrapText="1"/>
    </xf>
    <xf numFmtId="0" fontId="0" fillId="33" borderId="0" xfId="0" applyFont="1" applyFill="1" applyBorder="1" applyAlignment="1">
      <alignment horizontal="right"/>
    </xf>
    <xf numFmtId="1" fontId="0" fillId="33" borderId="0" xfId="0" applyNumberFormat="1" applyFont="1" applyFill="1" applyBorder="1" applyAlignment="1">
      <alignment horizontal="right"/>
    </xf>
    <xf numFmtId="14" fontId="16" fillId="35" borderId="13" xfId="0" applyNumberFormat="1" applyFont="1" applyFill="1" applyBorder="1" applyAlignment="1">
      <alignment horizontal="left"/>
    </xf>
    <xf numFmtId="15" fontId="0" fillId="0" borderId="0" xfId="0" applyNumberFormat="1" applyFont="1" applyFill="1" applyAlignment="1">
      <alignment/>
    </xf>
    <xf numFmtId="0" fontId="0" fillId="0" borderId="0" xfId="0" applyNumberFormat="1" applyFont="1" applyFill="1" applyAlignment="1">
      <alignment horizontal="left"/>
    </xf>
    <xf numFmtId="2" fontId="0" fillId="0" borderId="0" xfId="0" applyNumberFormat="1" applyFont="1" applyFill="1" applyAlignment="1">
      <alignment horizontal="left"/>
    </xf>
    <xf numFmtId="179" fontId="0" fillId="0" borderId="0" xfId="0" applyNumberFormat="1" applyFont="1" applyFill="1" applyAlignment="1">
      <alignment horizontal="left"/>
    </xf>
    <xf numFmtId="0" fontId="3" fillId="37" borderId="10" xfId="0" applyFont="1" applyFill="1" applyBorder="1" applyAlignment="1">
      <alignment/>
    </xf>
    <xf numFmtId="172" fontId="3" fillId="0" borderId="14" xfId="0" applyNumberFormat="1" applyFont="1" applyFill="1" applyBorder="1" applyAlignment="1">
      <alignment/>
    </xf>
    <xf numFmtId="172" fontId="3" fillId="0" borderId="14" xfId="0" applyNumberFormat="1" applyFont="1" applyFill="1" applyBorder="1" applyAlignment="1">
      <alignment horizontal="right"/>
    </xf>
    <xf numFmtId="172" fontId="2" fillId="0" borderId="13" xfId="0" applyNumberFormat="1" applyFont="1" applyFill="1" applyBorder="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1" fontId="3" fillId="33" borderId="11" xfId="0" applyNumberFormat="1" applyFont="1" applyFill="1" applyBorder="1" applyAlignment="1">
      <alignment/>
    </xf>
    <xf numFmtId="2" fontId="3" fillId="33" borderId="11" xfId="0" applyNumberFormat="1" applyFont="1" applyFill="1" applyBorder="1" applyAlignment="1">
      <alignment/>
    </xf>
    <xf numFmtId="0" fontId="5" fillId="0" borderId="16" xfId="0" applyFont="1" applyFill="1" applyBorder="1" applyAlignment="1">
      <alignment/>
    </xf>
    <xf numFmtId="0" fontId="5" fillId="0" borderId="13" xfId="0" applyFont="1" applyFill="1" applyBorder="1" applyAlignment="1">
      <alignment/>
    </xf>
    <xf numFmtId="0" fontId="5" fillId="0" borderId="15" xfId="0" applyFont="1" applyFill="1" applyBorder="1" applyAlignment="1">
      <alignment/>
    </xf>
    <xf numFmtId="172" fontId="3" fillId="37" borderId="19" xfId="0" applyNumberFormat="1" applyFont="1" applyFill="1" applyBorder="1" applyAlignment="1">
      <alignment/>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0" fillId="0" borderId="17" xfId="0" applyFont="1" applyFill="1" applyBorder="1" applyAlignment="1">
      <alignment vertical="top" wrapText="1"/>
    </xf>
    <xf numFmtId="0" fontId="13" fillId="0" borderId="0" xfId="0" applyFont="1" applyFill="1" applyAlignment="1">
      <alignment/>
    </xf>
    <xf numFmtId="1" fontId="0" fillId="0" borderId="13" xfId="0" applyNumberFormat="1" applyFont="1" applyFill="1" applyBorder="1" applyAlignment="1">
      <alignment/>
    </xf>
    <xf numFmtId="0" fontId="13" fillId="0" borderId="0" xfId="0" applyFont="1" applyFill="1" applyBorder="1" applyAlignment="1">
      <alignment/>
    </xf>
    <xf numFmtId="0" fontId="0" fillId="0" borderId="21" xfId="0" applyFont="1" applyFill="1" applyBorder="1" applyAlignment="1">
      <alignment/>
    </xf>
    <xf numFmtId="1" fontId="0" fillId="0" borderId="14" xfId="0" applyNumberFormat="1" applyFont="1" applyFill="1" applyBorder="1" applyAlignment="1">
      <alignment/>
    </xf>
    <xf numFmtId="0" fontId="13" fillId="0" borderId="14" xfId="0" applyFont="1" applyFill="1" applyBorder="1" applyAlignment="1">
      <alignment/>
    </xf>
    <xf numFmtId="1" fontId="3" fillId="0" borderId="0" xfId="0" applyNumberFormat="1" applyFont="1" applyFill="1" applyBorder="1" applyAlignment="1">
      <alignment/>
    </xf>
    <xf numFmtId="1" fontId="3" fillId="0" borderId="13" xfId="0" applyNumberFormat="1" applyFont="1" applyFill="1" applyBorder="1" applyAlignment="1">
      <alignment/>
    </xf>
    <xf numFmtId="0" fontId="3" fillId="0" borderId="13" xfId="0" applyFont="1" applyFill="1" applyBorder="1" applyAlignment="1">
      <alignment/>
    </xf>
    <xf numFmtId="172" fontId="3" fillId="0" borderId="13" xfId="0" applyNumberFormat="1" applyFont="1" applyFill="1" applyBorder="1" applyAlignment="1">
      <alignment/>
    </xf>
    <xf numFmtId="1" fontId="0" fillId="37" borderId="11" xfId="0" applyNumberFormat="1" applyFont="1" applyFill="1" applyBorder="1" applyAlignment="1">
      <alignment/>
    </xf>
    <xf numFmtId="0" fontId="0" fillId="37" borderId="10" xfId="0" applyFont="1" applyFill="1" applyBorder="1" applyAlignment="1">
      <alignment horizontal="left"/>
    </xf>
    <xf numFmtId="1" fontId="0" fillId="33" borderId="11" xfId="0" applyNumberFormat="1" applyFont="1" applyFill="1" applyBorder="1" applyAlignment="1">
      <alignment/>
    </xf>
    <xf numFmtId="0" fontId="0" fillId="33" borderId="10" xfId="0" applyFont="1" applyFill="1" applyBorder="1" applyAlignment="1">
      <alignment horizontal="left"/>
    </xf>
    <xf numFmtId="1" fontId="0" fillId="0" borderId="0" xfId="0" applyNumberFormat="1" applyFont="1" applyFill="1" applyBorder="1" applyAlignment="1">
      <alignment/>
    </xf>
    <xf numFmtId="0" fontId="0" fillId="0" borderId="16" xfId="0" applyFont="1" applyFill="1" applyBorder="1" applyAlignment="1">
      <alignment horizontal="left"/>
    </xf>
    <xf numFmtId="0" fontId="11" fillId="0" borderId="14" xfId="0" applyFont="1" applyFill="1" applyBorder="1" applyAlignment="1">
      <alignment horizontal="left"/>
    </xf>
    <xf numFmtId="0" fontId="5" fillId="0" borderId="18" xfId="0" applyFont="1" applyBorder="1" applyAlignment="1">
      <alignment horizontal="left" vertical="top" wrapText="1"/>
    </xf>
    <xf numFmtId="0" fontId="5" fillId="0" borderId="15" xfId="0" applyFont="1" applyBorder="1" applyAlignment="1">
      <alignment horizontal="left" vertical="top" wrapText="1"/>
    </xf>
    <xf numFmtId="0" fontId="11" fillId="0" borderId="16" xfId="0" applyFont="1" applyFill="1" applyBorder="1" applyAlignment="1">
      <alignment horizontal="left"/>
    </xf>
    <xf numFmtId="0" fontId="11" fillId="0" borderId="0" xfId="0" applyFont="1" applyFill="1" applyBorder="1" applyAlignment="1">
      <alignment horizontal="left"/>
    </xf>
    <xf numFmtId="0" fontId="0" fillId="0" borderId="13" xfId="0" applyFont="1" applyFill="1" applyBorder="1" applyAlignment="1">
      <alignment horizontal="left"/>
    </xf>
    <xf numFmtId="0" fontId="0" fillId="0" borderId="0" xfId="0" applyFont="1" applyFill="1" applyAlignment="1">
      <alignment horizontal="right" vertical="top" wrapText="1"/>
    </xf>
    <xf numFmtId="15" fontId="5" fillId="0" borderId="0" xfId="0" applyNumberFormat="1" applyFont="1" applyFill="1" applyAlignment="1">
      <alignment horizontal="left" vertical="top" wrapText="1"/>
    </xf>
    <xf numFmtId="15" fontId="11" fillId="34" borderId="11" xfId="0" applyNumberFormat="1" applyFont="1" applyFill="1" applyBorder="1" applyAlignment="1">
      <alignment horizontal="center" vertical="center" wrapText="1"/>
    </xf>
    <xf numFmtId="2" fontId="11" fillId="34" borderId="11" xfId="0" applyNumberFormat="1" applyFont="1" applyFill="1" applyBorder="1" applyAlignment="1">
      <alignment vertical="center"/>
    </xf>
    <xf numFmtId="1" fontId="5" fillId="36" borderId="21" xfId="0" applyNumberFormat="1" applyFont="1" applyFill="1" applyBorder="1" applyAlignment="1">
      <alignment horizontal="right" wrapText="1"/>
    </xf>
    <xf numFmtId="0" fontId="11" fillId="0" borderId="21" xfId="0" applyFont="1" applyBorder="1" applyAlignment="1">
      <alignment/>
    </xf>
    <xf numFmtId="1" fontId="11" fillId="0" borderId="13" xfId="0" applyNumberFormat="1" applyFont="1" applyBorder="1" applyAlignment="1">
      <alignment horizontal="left" wrapText="1"/>
    </xf>
    <xf numFmtId="0" fontId="11" fillId="0" borderId="13" xfId="0" applyFont="1" applyBorder="1" applyAlignment="1">
      <alignment/>
    </xf>
    <xf numFmtId="1" fontId="11" fillId="0" borderId="0" xfId="0" applyNumberFormat="1" applyFont="1" applyBorder="1" applyAlignment="1">
      <alignment horizontal="left" wrapText="1"/>
    </xf>
    <xf numFmtId="1" fontId="3" fillId="0" borderId="13" xfId="0" applyNumberFormat="1" applyFont="1" applyBorder="1" applyAlignment="1">
      <alignment horizontal="left" wrapText="1"/>
    </xf>
    <xf numFmtId="0" fontId="0" fillId="0" borderId="0" xfId="0" applyAlignment="1">
      <alignment horizontal="left" vertical="top" wrapText="1"/>
    </xf>
    <xf numFmtId="0" fontId="0" fillId="38" borderId="0" xfId="0" applyFill="1" applyAlignment="1">
      <alignment horizontal="left" vertical="top" wrapText="1"/>
    </xf>
    <xf numFmtId="0" fontId="11" fillId="0" borderId="0" xfId="0" applyFont="1" applyAlignment="1">
      <alignment horizontal="left" vertical="top" wrapText="1"/>
    </xf>
    <xf numFmtId="15" fontId="8" fillId="33" borderId="0" xfId="0" applyNumberFormat="1" applyFont="1" applyFill="1" applyBorder="1" applyAlignment="1">
      <alignment horizontal="left"/>
    </xf>
    <xf numFmtId="0" fontId="18" fillId="0" borderId="0" xfId="0" applyFont="1" applyAlignment="1">
      <alignment horizontal="center"/>
    </xf>
    <xf numFmtId="0" fontId="0" fillId="0" borderId="0" xfId="0" applyAlignment="1">
      <alignment horizontal="left" vertical="center" wrapText="1"/>
    </xf>
    <xf numFmtId="172" fontId="5" fillId="0" borderId="0"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36" borderId="0" xfId="0" applyFont="1" applyFill="1" applyAlignment="1">
      <alignment/>
    </xf>
    <xf numFmtId="179" fontId="0" fillId="0" borderId="0" xfId="0" applyNumberFormat="1" applyFont="1" applyFill="1" applyAlignment="1">
      <alignment/>
    </xf>
    <xf numFmtId="2" fontId="0" fillId="37" borderId="0" xfId="0" applyNumberFormat="1" applyFont="1" applyFill="1" applyAlignment="1">
      <alignment horizontal="left"/>
    </xf>
    <xf numFmtId="179" fontId="0" fillId="37" borderId="0" xfId="0" applyNumberFormat="1" applyFont="1" applyFill="1" applyAlignment="1">
      <alignment horizontal="left"/>
    </xf>
    <xf numFmtId="0" fontId="0" fillId="0" borderId="0" xfId="0" applyFont="1" applyFill="1" applyAlignment="1">
      <alignment horizontal="left" vertical="center" wrapText="1"/>
    </xf>
    <xf numFmtId="0" fontId="5" fillId="0" borderId="13" xfId="0" applyFont="1" applyBorder="1" applyAlignment="1">
      <alignment horizontal="left" vertical="top" wrapText="1"/>
    </xf>
    <xf numFmtId="0" fontId="5" fillId="0" borderId="21" xfId="0" applyFont="1" applyBorder="1" applyAlignment="1">
      <alignment horizontal="right"/>
    </xf>
    <xf numFmtId="0" fontId="0" fillId="0" borderId="0" xfId="0" applyFont="1" applyFill="1" applyAlignment="1">
      <alignment vertical="center" wrapText="1"/>
    </xf>
    <xf numFmtId="0" fontId="0" fillId="0" borderId="0" xfId="0" applyFont="1" applyFill="1" applyAlignment="1">
      <alignment horizontal="center" vertical="center" wrapText="1"/>
    </xf>
    <xf numFmtId="1" fontId="0" fillId="37" borderId="12" xfId="0" applyNumberFormat="1" applyFont="1" applyFill="1" applyBorder="1" applyAlignment="1">
      <alignment horizontal="right" vertical="top" wrapText="1"/>
    </xf>
    <xf numFmtId="0" fontId="0" fillId="37" borderId="12" xfId="0" applyFont="1" applyFill="1" applyBorder="1" applyAlignment="1">
      <alignment horizontal="left" vertical="top" wrapText="1"/>
    </xf>
    <xf numFmtId="0" fontId="0" fillId="33" borderId="12" xfId="0" applyFont="1" applyFill="1" applyBorder="1" applyAlignment="1">
      <alignment horizontal="right" vertical="top" wrapText="1"/>
    </xf>
    <xf numFmtId="0" fontId="0" fillId="33" borderId="12" xfId="0" applyFont="1" applyFill="1" applyBorder="1" applyAlignment="1">
      <alignment horizontal="left" vertical="top" wrapText="1"/>
    </xf>
    <xf numFmtId="0" fontId="0" fillId="37" borderId="12" xfId="0" applyFont="1" applyFill="1" applyBorder="1" applyAlignment="1">
      <alignment horizontal="right" vertical="top" wrapText="1"/>
    </xf>
    <xf numFmtId="1" fontId="0" fillId="33" borderId="12" xfId="0" applyNumberFormat="1" applyFont="1" applyFill="1" applyBorder="1" applyAlignment="1">
      <alignment horizontal="right" vertical="top" wrapText="1"/>
    </xf>
    <xf numFmtId="0" fontId="0" fillId="33" borderId="11" xfId="0" applyFont="1" applyFill="1" applyBorder="1" applyAlignment="1">
      <alignment horizontal="left" vertical="top" wrapText="1"/>
    </xf>
    <xf numFmtId="0" fontId="5" fillId="0" borderId="21" xfId="0" applyFont="1" applyFill="1" applyBorder="1" applyAlignment="1">
      <alignment horizontal="right"/>
    </xf>
    <xf numFmtId="0" fontId="11" fillId="0" borderId="18" xfId="0" applyFont="1" applyBorder="1" applyAlignment="1">
      <alignment/>
    </xf>
    <xf numFmtId="0" fontId="11" fillId="0" borderId="13" xfId="0" applyFont="1" applyBorder="1" applyAlignment="1">
      <alignment/>
    </xf>
    <xf numFmtId="0" fontId="11" fillId="0" borderId="15" xfId="0" applyFont="1" applyBorder="1" applyAlignment="1">
      <alignment/>
    </xf>
    <xf numFmtId="0" fontId="11" fillId="0" borderId="14" xfId="0" applyFont="1" applyBorder="1" applyAlignment="1">
      <alignment/>
    </xf>
    <xf numFmtId="0" fontId="0" fillId="0" borderId="0" xfId="0" applyFont="1" applyBorder="1" applyAlignment="1">
      <alignment/>
    </xf>
    <xf numFmtId="0" fontId="0" fillId="0" borderId="16" xfId="0" applyFont="1" applyBorder="1" applyAlignment="1">
      <alignment/>
    </xf>
    <xf numFmtId="0" fontId="11" fillId="0" borderId="14" xfId="0" applyFont="1" applyBorder="1" applyAlignment="1">
      <alignment vertical="top"/>
    </xf>
    <xf numFmtId="0" fontId="0" fillId="0" borderId="0" xfId="0" applyBorder="1" applyAlignment="1">
      <alignment horizontal="left" vertical="center" wrapText="1"/>
    </xf>
    <xf numFmtId="0" fontId="0" fillId="0" borderId="16" xfId="0" applyBorder="1" applyAlignment="1" quotePrefix="1">
      <alignment horizontal="left" vertical="center" wrapText="1"/>
    </xf>
    <xf numFmtId="0" fontId="0" fillId="0" borderId="16" xfId="0" applyBorder="1" applyAlignment="1">
      <alignment horizontal="left" vertical="center" wrapText="1"/>
    </xf>
    <xf numFmtId="0" fontId="0" fillId="0" borderId="0" xfId="0" applyBorder="1" applyAlignment="1">
      <alignment horizontal="right" vertical="center"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xf>
    <xf numFmtId="0" fontId="0" fillId="0" borderId="16" xfId="0" applyBorder="1" applyAlignment="1">
      <alignment/>
    </xf>
    <xf numFmtId="0" fontId="11" fillId="0" borderId="14" xfId="0" applyFont="1" applyBorder="1" applyAlignment="1">
      <alignment horizontal="left" vertical="top" wrapText="1"/>
    </xf>
    <xf numFmtId="0" fontId="11" fillId="0" borderId="20" xfId="0" applyFont="1" applyBorder="1" applyAlignment="1">
      <alignment horizontal="left" vertical="top" wrapText="1"/>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11" fillId="0" borderId="20" xfId="0" applyFont="1" applyBorder="1" applyAlignment="1">
      <alignment/>
    </xf>
    <xf numFmtId="0" fontId="0" fillId="0" borderId="21"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xf>
    <xf numFmtId="0" fontId="0" fillId="0" borderId="15" xfId="0" applyBorder="1" applyAlignment="1">
      <alignment/>
    </xf>
    <xf numFmtId="0" fontId="11" fillId="0" borderId="20" xfId="0" applyFont="1" applyBorder="1" applyAlignment="1">
      <alignment vertical="top"/>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3" xfId="0" applyFont="1" applyBorder="1" applyAlignment="1">
      <alignment/>
    </xf>
    <xf numFmtId="0" fontId="0" fillId="0" borderId="15" xfId="0" applyFont="1" applyBorder="1" applyAlignment="1">
      <alignment/>
    </xf>
    <xf numFmtId="0" fontId="0" fillId="0" borderId="0" xfId="0" applyFont="1" applyBorder="1" applyAlignment="1">
      <alignment vertical="center"/>
    </xf>
    <xf numFmtId="0" fontId="0" fillId="0" borderId="16" xfId="0" applyFont="1" applyBorder="1" applyAlignment="1">
      <alignment horizontal="left" vertical="center" wrapText="1"/>
    </xf>
    <xf numFmtId="0" fontId="11" fillId="0" borderId="16" xfId="0" applyFont="1" applyBorder="1" applyAlignment="1">
      <alignment/>
    </xf>
    <xf numFmtId="0" fontId="11" fillId="0" borderId="14" xfId="0" applyFont="1" applyBorder="1" applyAlignment="1">
      <alignment horizontal="left" vertical="center" wrapText="1"/>
    </xf>
    <xf numFmtId="0" fontId="0" fillId="0" borderId="21" xfId="0" applyBorder="1" applyAlignment="1">
      <alignment/>
    </xf>
    <xf numFmtId="0" fontId="0" fillId="0" borderId="17" xfId="0" applyBorder="1" applyAlignment="1">
      <alignment/>
    </xf>
    <xf numFmtId="0" fontId="0" fillId="0" borderId="21" xfId="0" applyFont="1" applyBorder="1" applyAlignment="1">
      <alignment/>
    </xf>
    <xf numFmtId="0" fontId="11" fillId="0" borderId="17" xfId="0" applyFont="1" applyBorder="1" applyAlignment="1">
      <alignment/>
    </xf>
    <xf numFmtId="0" fontId="11" fillId="0" borderId="20" xfId="0" applyFont="1" applyBorder="1" applyAlignment="1">
      <alignment horizontal="left" vertical="center" wrapText="1"/>
    </xf>
    <xf numFmtId="0" fontId="11" fillId="0" borderId="18" xfId="0" applyFont="1" applyBorder="1" applyAlignment="1">
      <alignment horizontal="left" vertical="center" wrapText="1"/>
    </xf>
    <xf numFmtId="0" fontId="1" fillId="0" borderId="18"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15" fontId="0" fillId="35" borderId="0" xfId="0" applyNumberFormat="1" applyFont="1" applyFill="1" applyBorder="1" applyAlignment="1">
      <alignment horizontal="left" wrapText="1"/>
    </xf>
    <xf numFmtId="1" fontId="5" fillId="36" borderId="0" xfId="0" applyNumberFormat="1" applyFont="1" applyFill="1" applyBorder="1" applyAlignment="1">
      <alignment horizontal="right"/>
    </xf>
    <xf numFmtId="0" fontId="5" fillId="36" borderId="16" xfId="0" applyNumberFormat="1" applyFont="1" applyFill="1" applyBorder="1" applyAlignment="1">
      <alignment/>
    </xf>
    <xf numFmtId="15" fontId="0" fillId="33" borderId="0" xfId="0" applyNumberFormat="1" applyFont="1" applyFill="1" applyBorder="1" applyAlignment="1">
      <alignment horizontal="left"/>
    </xf>
    <xf numFmtId="0" fontId="5" fillId="36" borderId="13" xfId="0" applyFont="1" applyFill="1" applyBorder="1" applyAlignment="1">
      <alignment horizontal="right" wrapText="1"/>
    </xf>
    <xf numFmtId="0" fontId="20" fillId="0" borderId="0" xfId="0" applyFont="1" applyBorder="1" applyAlignment="1">
      <alignment horizontal="right"/>
    </xf>
    <xf numFmtId="0" fontId="20" fillId="0" borderId="16" xfId="0" applyFont="1" applyBorder="1" applyAlignment="1">
      <alignment horizontal="left"/>
    </xf>
    <xf numFmtId="1" fontId="20" fillId="0" borderId="0" xfId="0" applyNumberFormat="1" applyFont="1" applyBorder="1" applyAlignment="1">
      <alignment horizontal="right" wrapText="1"/>
    </xf>
    <xf numFmtId="172" fontId="5" fillId="37" borderId="12" xfId="0" applyNumberFormat="1" applyFont="1" applyFill="1" applyBorder="1" applyAlignment="1">
      <alignment/>
    </xf>
    <xf numFmtId="0" fontId="5" fillId="37" borderId="12" xfId="0" applyFont="1" applyFill="1" applyBorder="1" applyAlignment="1">
      <alignment/>
    </xf>
    <xf numFmtId="1" fontId="0" fillId="35" borderId="10" xfId="0" applyNumberFormat="1" applyFont="1" applyFill="1" applyBorder="1" applyAlignment="1">
      <alignment vertical="center"/>
    </xf>
    <xf numFmtId="0" fontId="0" fillId="0" borderId="0" xfId="0" applyFont="1" applyFill="1" applyBorder="1" applyAlignment="1">
      <alignment horizontal="left"/>
    </xf>
    <xf numFmtId="0" fontId="0" fillId="0" borderId="15" xfId="0" applyFont="1" applyFill="1" applyBorder="1" applyAlignment="1">
      <alignment horizontal="left"/>
    </xf>
    <xf numFmtId="0" fontId="0" fillId="12" borderId="10" xfId="0" applyFont="1" applyFill="1" applyBorder="1" applyAlignment="1">
      <alignment/>
    </xf>
    <xf numFmtId="1" fontId="0" fillId="12" borderId="11" xfId="0" applyNumberFormat="1" applyFont="1" applyFill="1" applyBorder="1" applyAlignment="1">
      <alignment/>
    </xf>
    <xf numFmtId="0" fontId="0" fillId="0" borderId="0" xfId="0" applyFont="1" applyFill="1" applyBorder="1" applyAlignment="1">
      <alignment horizontal="right" vertical="top" wrapText="1"/>
    </xf>
    <xf numFmtId="0" fontId="0" fillId="0" borderId="0" xfId="0" applyFont="1" applyFill="1" applyBorder="1" applyAlignment="1">
      <alignment horizontal="left" vertical="top" wrapText="1"/>
    </xf>
    <xf numFmtId="1" fontId="0" fillId="0" borderId="0" xfId="0" applyNumberFormat="1" applyFont="1" applyFill="1" applyBorder="1" applyAlignment="1">
      <alignment horizontal="right" vertical="top" wrapText="1"/>
    </xf>
    <xf numFmtId="0" fontId="0" fillId="12" borderId="12" xfId="0" applyFont="1" applyFill="1" applyBorder="1" applyAlignment="1">
      <alignment/>
    </xf>
    <xf numFmtId="1" fontId="0" fillId="12" borderId="12" xfId="0" applyNumberFormat="1" applyFont="1" applyFill="1" applyBorder="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Alignment="1">
      <alignment horizontal="left" vertical="top" wrapText="1"/>
    </xf>
    <xf numFmtId="0" fontId="0" fillId="0" borderId="0" xfId="0" applyAlignment="1">
      <alignment/>
    </xf>
    <xf numFmtId="0" fontId="11" fillId="0" borderId="0" xfId="0" applyFont="1" applyAlignment="1">
      <alignment horizontal="left" vertical="top" wrapText="1"/>
    </xf>
    <xf numFmtId="0" fontId="0" fillId="38" borderId="0" xfId="0" applyFill="1" applyAlignment="1">
      <alignment horizontal="center" vertical="top" wrapText="1"/>
    </xf>
    <xf numFmtId="0" fontId="22" fillId="38" borderId="0" xfId="0" applyFont="1" applyFill="1" applyAlignment="1">
      <alignment horizontal="center" vertical="top" wrapText="1"/>
    </xf>
    <xf numFmtId="0" fontId="0" fillId="38" borderId="0" xfId="0" applyFont="1" applyFill="1" applyAlignment="1">
      <alignment horizontal="center" vertical="top" wrapText="1"/>
    </xf>
    <xf numFmtId="0" fontId="11" fillId="0" borderId="0" xfId="0" applyFont="1" applyAlignment="1">
      <alignment/>
    </xf>
    <xf numFmtId="0" fontId="8" fillId="0" borderId="0" xfId="0" applyFont="1" applyAlignment="1">
      <alignment horizontal="left"/>
    </xf>
    <xf numFmtId="0" fontId="21" fillId="0" borderId="0" xfId="0" applyFont="1" applyAlignment="1">
      <alignment horizontal="center" vertical="center"/>
    </xf>
    <xf numFmtId="0" fontId="8" fillId="0" borderId="0" xfId="0" applyFont="1" applyAlignment="1">
      <alignment horizontal="right"/>
    </xf>
    <xf numFmtId="0" fontId="20" fillId="38" borderId="0" xfId="0" applyFont="1" applyFill="1" applyAlignment="1">
      <alignment horizontal="center" vertical="top" wrapText="1"/>
    </xf>
    <xf numFmtId="0" fontId="21" fillId="0" borderId="20" xfId="0" applyFont="1" applyBorder="1" applyAlignment="1">
      <alignment horizontal="center"/>
    </xf>
    <xf numFmtId="0" fontId="21" fillId="0" borderId="21" xfId="0" applyFont="1" applyBorder="1" applyAlignment="1">
      <alignment horizontal="center"/>
    </xf>
    <xf numFmtId="0" fontId="21" fillId="0" borderId="17" xfId="0" applyFont="1" applyBorder="1" applyAlignment="1">
      <alignment horizontal="center"/>
    </xf>
    <xf numFmtId="0" fontId="12" fillId="0" borderId="14" xfId="0" applyFont="1" applyBorder="1" applyAlignment="1">
      <alignment horizontal="left" wrapText="1"/>
    </xf>
    <xf numFmtId="0" fontId="12" fillId="0" borderId="20" xfId="0" applyFont="1" applyBorder="1" applyAlignment="1">
      <alignment horizontal="left" wrapText="1"/>
    </xf>
    <xf numFmtId="0" fontId="23" fillId="0" borderId="18" xfId="0" applyFont="1" applyBorder="1" applyAlignment="1">
      <alignment horizontal="left" vertical="top" wrapText="1"/>
    </xf>
    <xf numFmtId="0" fontId="23" fillId="0" borderId="15" xfId="0" applyFont="1" applyBorder="1" applyAlignment="1">
      <alignment horizontal="left" vertical="top" wrapText="1"/>
    </xf>
    <xf numFmtId="0" fontId="23" fillId="0" borderId="14" xfId="0" applyFont="1" applyBorder="1" applyAlignment="1">
      <alignment horizontal="left" vertical="top" wrapText="1"/>
    </xf>
    <xf numFmtId="0" fontId="23" fillId="0" borderId="16" xfId="0" applyFont="1" applyBorder="1" applyAlignment="1">
      <alignment horizontal="left" vertical="top" wrapText="1"/>
    </xf>
    <xf numFmtId="0" fontId="23" fillId="0" borderId="20" xfId="0" applyFont="1" applyBorder="1" applyAlignment="1">
      <alignment horizontal="left" vertical="top" wrapText="1"/>
    </xf>
    <xf numFmtId="0" fontId="23" fillId="0" borderId="17" xfId="0" applyFont="1" applyBorder="1" applyAlignment="1">
      <alignment horizontal="left" vertical="top" wrapText="1"/>
    </xf>
    <xf numFmtId="0" fontId="25" fillId="0" borderId="14" xfId="0" applyFont="1" applyBorder="1" applyAlignment="1">
      <alignment horizontal="left"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21" fillId="0" borderId="11" xfId="0" applyFont="1" applyBorder="1" applyAlignment="1">
      <alignment horizontal="center"/>
    </xf>
    <xf numFmtId="0" fontId="21" fillId="0" borderId="19" xfId="0" applyFont="1" applyBorder="1" applyAlignment="1">
      <alignment horizontal="center"/>
    </xf>
    <xf numFmtId="0" fontId="21" fillId="0" borderId="10" xfId="0" applyFont="1" applyBorder="1" applyAlignment="1">
      <alignment horizontal="center"/>
    </xf>
    <xf numFmtId="0" fontId="12" fillId="33" borderId="14" xfId="0" applyFont="1" applyFill="1" applyBorder="1" applyAlignment="1">
      <alignment horizontal="left" wrapText="1"/>
    </xf>
    <xf numFmtId="0" fontId="0" fillId="0" borderId="11" xfId="0" applyFont="1" applyBorder="1" applyAlignment="1">
      <alignment/>
    </xf>
    <xf numFmtId="0" fontId="0" fillId="0" borderId="19" xfId="0" applyFont="1" applyBorder="1" applyAlignment="1">
      <alignment/>
    </xf>
    <xf numFmtId="0" fontId="12" fillId="35" borderId="14" xfId="0" applyFont="1" applyFill="1" applyBorder="1" applyAlignment="1">
      <alignment wrapText="1"/>
    </xf>
    <xf numFmtId="0" fontId="12" fillId="35" borderId="20" xfId="0" applyFont="1" applyFill="1" applyBorder="1" applyAlignment="1">
      <alignment wrapText="1"/>
    </xf>
    <xf numFmtId="14" fontId="16" fillId="35" borderId="13" xfId="0" applyNumberFormat="1" applyFont="1" applyFill="1" applyBorder="1" applyAlignment="1">
      <alignment horizontal="left"/>
    </xf>
    <xf numFmtId="14" fontId="16" fillId="35" borderId="15" xfId="0" applyNumberFormat="1" applyFont="1" applyFill="1" applyBorder="1" applyAlignment="1">
      <alignment horizontal="left"/>
    </xf>
    <xf numFmtId="0" fontId="19" fillId="36" borderId="18" xfId="0" applyFont="1" applyFill="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16" fillId="36" borderId="20" xfId="0" applyFont="1" applyFill="1" applyBorder="1" applyAlignment="1">
      <alignment horizontal="center" vertical="center" wrapText="1"/>
    </xf>
    <xf numFmtId="0" fontId="16" fillId="36" borderId="21" xfId="0" applyFont="1" applyFill="1" applyBorder="1" applyAlignment="1">
      <alignment horizontal="center" vertical="center" wrapText="1"/>
    </xf>
    <xf numFmtId="0" fontId="16" fillId="36" borderId="17" xfId="0" applyFont="1" applyFill="1" applyBorder="1" applyAlignment="1">
      <alignment horizontal="center" vertical="center" wrapText="1"/>
    </xf>
    <xf numFmtId="0" fontId="17" fillId="0" borderId="20" xfId="0" applyFont="1" applyBorder="1" applyAlignment="1">
      <alignment horizontal="left" wrapText="1"/>
    </xf>
    <xf numFmtId="0" fontId="17" fillId="0" borderId="21" xfId="0" applyFont="1" applyBorder="1" applyAlignment="1">
      <alignment horizontal="left" wrapText="1"/>
    </xf>
    <xf numFmtId="1" fontId="11" fillId="0" borderId="21" xfId="0" applyNumberFormat="1" applyFont="1" applyBorder="1" applyAlignment="1">
      <alignment horizontal="left" wrapText="1"/>
    </xf>
    <xf numFmtId="1" fontId="11" fillId="0" borderId="11" xfId="0" applyNumberFormat="1" applyFont="1" applyBorder="1" applyAlignment="1">
      <alignment horizontal="left" wrapText="1"/>
    </xf>
    <xf numFmtId="1" fontId="11" fillId="0" borderId="19" xfId="0" applyNumberFormat="1" applyFont="1" applyBorder="1" applyAlignment="1">
      <alignment horizontal="left" wrapText="1"/>
    </xf>
    <xf numFmtId="0" fontId="17" fillId="0" borderId="11" xfId="0" applyFont="1" applyBorder="1" applyAlignment="1">
      <alignment horizontal="left" wrapText="1"/>
    </xf>
    <xf numFmtId="0" fontId="17" fillId="0" borderId="19" xfId="0" applyFont="1" applyBorder="1" applyAlignment="1">
      <alignment horizontal="left" wrapText="1"/>
    </xf>
    <xf numFmtId="0" fontId="0" fillId="0" borderId="20" xfId="0" applyFont="1" applyBorder="1" applyAlignment="1">
      <alignment horizontal="center" wrapText="1"/>
    </xf>
    <xf numFmtId="0" fontId="0" fillId="0" borderId="21" xfId="0" applyFont="1" applyBorder="1" applyAlignment="1">
      <alignment horizontal="center" wrapText="1"/>
    </xf>
    <xf numFmtId="0" fontId="13" fillId="0" borderId="20" xfId="0" applyFont="1" applyBorder="1" applyAlignment="1">
      <alignment horizontal="center" wrapText="1"/>
    </xf>
    <xf numFmtId="0" fontId="13" fillId="0" borderId="21" xfId="0" applyFont="1" applyBorder="1" applyAlignment="1">
      <alignment horizontal="center" wrapText="1"/>
    </xf>
    <xf numFmtId="0" fontId="13" fillId="0" borderId="17" xfId="0" applyFont="1" applyBorder="1" applyAlignment="1">
      <alignment horizontal="center" wrapText="1"/>
    </xf>
    <xf numFmtId="0" fontId="17" fillId="0" borderId="18" xfId="0" applyFont="1" applyBorder="1" applyAlignment="1">
      <alignment horizontal="left" wrapText="1"/>
    </xf>
    <xf numFmtId="0" fontId="17" fillId="0" borderId="13" xfId="0" applyFont="1" applyBorder="1" applyAlignment="1">
      <alignment horizontal="left" wrapText="1"/>
    </xf>
    <xf numFmtId="0" fontId="11" fillId="0" borderId="18" xfId="0" applyFont="1" applyBorder="1" applyAlignment="1">
      <alignment horizontal="left" wrapText="1"/>
    </xf>
    <xf numFmtId="0" fontId="11" fillId="0" borderId="13" xfId="0" applyFont="1" applyBorder="1" applyAlignment="1">
      <alignment horizontal="left" wrapText="1"/>
    </xf>
    <xf numFmtId="0" fontId="12" fillId="33" borderId="18" xfId="0" applyFont="1" applyFill="1" applyBorder="1" applyAlignment="1">
      <alignment horizontal="left" wrapText="1"/>
    </xf>
    <xf numFmtId="0" fontId="12" fillId="35" borderId="14" xfId="0" applyFont="1" applyFill="1" applyBorder="1" applyAlignment="1">
      <alignment horizontal="left" wrapText="1"/>
    </xf>
    <xf numFmtId="0" fontId="16" fillId="33" borderId="13" xfId="0" applyFont="1" applyFill="1" applyBorder="1" applyAlignment="1">
      <alignment horizontal="left"/>
    </xf>
    <xf numFmtId="0" fontId="16" fillId="33" borderId="15" xfId="0" applyFont="1" applyFill="1" applyBorder="1" applyAlignment="1">
      <alignment horizontal="left"/>
    </xf>
    <xf numFmtId="15" fontId="16" fillId="33" borderId="13" xfId="0" applyNumberFormat="1" applyFont="1" applyFill="1" applyBorder="1" applyAlignment="1">
      <alignment horizontal="left" wrapText="1"/>
    </xf>
    <xf numFmtId="15" fontId="16" fillId="33" borderId="15" xfId="0" applyNumberFormat="1" applyFont="1" applyFill="1" applyBorder="1" applyAlignment="1">
      <alignment horizontal="left" wrapText="1"/>
    </xf>
    <xf numFmtId="0" fontId="3" fillId="0" borderId="18" xfId="0" applyFont="1" applyBorder="1" applyAlignment="1">
      <alignment horizontal="left"/>
    </xf>
    <xf numFmtId="0" fontId="3" fillId="0" borderId="13" xfId="0" applyFont="1" applyBorder="1" applyAlignment="1">
      <alignment horizontal="left"/>
    </xf>
    <xf numFmtId="0" fontId="3" fillId="0" borderId="15" xfId="0" applyFont="1" applyBorder="1" applyAlignment="1">
      <alignment horizontal="left"/>
    </xf>
    <xf numFmtId="1" fontId="3" fillId="0" borderId="14" xfId="0" applyNumberFormat="1" applyFont="1" applyBorder="1" applyAlignment="1">
      <alignment/>
    </xf>
    <xf numFmtId="1" fontId="3" fillId="0" borderId="0" xfId="0" applyNumberFormat="1" applyFont="1" applyBorder="1" applyAlignment="1">
      <alignment/>
    </xf>
    <xf numFmtId="1" fontId="3" fillId="0" borderId="16" xfId="0" applyNumberFormat="1" applyFont="1" applyBorder="1" applyAlignment="1">
      <alignment/>
    </xf>
    <xf numFmtId="1" fontId="3" fillId="0" borderId="14" xfId="0" applyNumberFormat="1" applyFont="1" applyBorder="1" applyAlignment="1">
      <alignment horizontal="left" wrapText="1"/>
    </xf>
    <xf numFmtId="1" fontId="3" fillId="0" borderId="0" xfId="0" applyNumberFormat="1" applyFont="1" applyBorder="1" applyAlignment="1">
      <alignment horizontal="left" wrapText="1"/>
    </xf>
    <xf numFmtId="1" fontId="3" fillId="0" borderId="16" xfId="0" applyNumberFormat="1" applyFont="1" applyBorder="1" applyAlignment="1">
      <alignment horizontal="left" wrapText="1"/>
    </xf>
    <xf numFmtId="0" fontId="3" fillId="0" borderId="20" xfId="0" applyFont="1" applyBorder="1" applyAlignment="1">
      <alignment horizontal="left"/>
    </xf>
    <xf numFmtId="0" fontId="3" fillId="0" borderId="21" xfId="0" applyFont="1" applyBorder="1" applyAlignment="1">
      <alignment horizontal="left"/>
    </xf>
    <xf numFmtId="0" fontId="3" fillId="0" borderId="17" xfId="0" applyFont="1" applyBorder="1" applyAlignment="1">
      <alignment horizontal="left"/>
    </xf>
    <xf numFmtId="0" fontId="1" fillId="0" borderId="0" xfId="0" applyFont="1" applyAlignment="1">
      <alignment horizontal="left"/>
    </xf>
    <xf numFmtId="0" fontId="10" fillId="0" borderId="0" xfId="0" applyFont="1" applyAlignment="1">
      <alignment horizontal="center"/>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5" borderId="11"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3" fillId="0" borderId="11" xfId="0" applyFont="1" applyBorder="1" applyAlignment="1">
      <alignment horizontal="left" vertical="top" wrapText="1"/>
    </xf>
    <xf numFmtId="0" fontId="13" fillId="0" borderId="19" xfId="0" applyFont="1" applyBorder="1" applyAlignment="1">
      <alignment horizontal="left" vertical="top" wrapText="1"/>
    </xf>
    <xf numFmtId="0" fontId="13" fillId="0" borderId="10" xfId="0" applyFont="1" applyBorder="1" applyAlignment="1">
      <alignment horizontal="left" vertical="top" wrapText="1"/>
    </xf>
    <xf numFmtId="0" fontId="11" fillId="33" borderId="11" xfId="0" applyFont="1" applyFill="1" applyBorder="1" applyAlignment="1">
      <alignment horizontal="left" vertical="top" wrapText="1"/>
    </xf>
    <xf numFmtId="0" fontId="11" fillId="33" borderId="10" xfId="0" applyFont="1" applyFill="1" applyBorder="1" applyAlignment="1">
      <alignment horizontal="left" vertical="top" wrapText="1"/>
    </xf>
    <xf numFmtId="0" fontId="3" fillId="37" borderId="22" xfId="0" applyFont="1" applyFill="1" applyBorder="1" applyAlignment="1">
      <alignment horizontal="left" vertical="top" wrapText="1"/>
    </xf>
    <xf numFmtId="0" fontId="3" fillId="37" borderId="12" xfId="0" applyFont="1" applyFill="1" applyBorder="1" applyAlignment="1">
      <alignment horizontal="left" vertical="top" wrapTex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11" fillId="0" borderId="21" xfId="0" applyFont="1" applyBorder="1" applyAlignment="1">
      <alignment horizontal="left" vertical="center" wrapText="1"/>
    </xf>
    <xf numFmtId="172" fontId="4" fillId="37" borderId="18" xfId="0" applyNumberFormat="1" applyFont="1" applyFill="1" applyBorder="1" applyAlignment="1">
      <alignment horizontal="center" vertical="top" wrapText="1"/>
    </xf>
    <xf numFmtId="172" fontId="4" fillId="37" borderId="15" xfId="0" applyNumberFormat="1" applyFont="1" applyFill="1" applyBorder="1" applyAlignment="1">
      <alignment horizontal="center" vertical="top" wrapText="1"/>
    </xf>
    <xf numFmtId="172" fontId="4" fillId="37" borderId="20" xfId="0" applyNumberFormat="1" applyFont="1" applyFill="1" applyBorder="1" applyAlignment="1">
      <alignment horizontal="center" vertical="top" wrapText="1"/>
    </xf>
    <xf numFmtId="172" fontId="4" fillId="37" borderId="17" xfId="0" applyNumberFormat="1" applyFont="1" applyFill="1" applyBorder="1" applyAlignment="1">
      <alignment horizontal="center" vertical="top" wrapText="1"/>
    </xf>
    <xf numFmtId="0" fontId="3" fillId="37" borderId="24" xfId="0" applyFont="1" applyFill="1" applyBorder="1" applyAlignment="1">
      <alignment horizontal="left" vertical="top" wrapText="1"/>
    </xf>
    <xf numFmtId="0" fontId="3" fillId="33" borderId="12"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37" borderId="10" xfId="0" applyFont="1" applyFill="1" applyBorder="1" applyAlignment="1">
      <alignment horizontal="center" vertical="center" wrapText="1"/>
    </xf>
    <xf numFmtId="1" fontId="3" fillId="37" borderId="12" xfId="0" applyNumberFormat="1" applyFont="1" applyFill="1" applyBorder="1" applyAlignment="1">
      <alignment horizontal="center"/>
    </xf>
    <xf numFmtId="0" fontId="0" fillId="0" borderId="0" xfId="0" applyFont="1" applyFill="1" applyAlignment="1">
      <alignment/>
    </xf>
    <xf numFmtId="0" fontId="11" fillId="0" borderId="0" xfId="0" applyFont="1" applyBorder="1" applyAlignment="1">
      <alignment horizontal="left" vertical="center" wrapText="1"/>
    </xf>
    <xf numFmtId="0" fontId="3" fillId="37" borderId="12" xfId="0" applyFont="1" applyFill="1" applyBorder="1" applyAlignment="1">
      <alignment horizontal="center" vertical="center" wrapText="1"/>
    </xf>
    <xf numFmtId="0" fontId="16" fillId="37" borderId="12" xfId="0" applyFont="1" applyFill="1" applyBorder="1" applyAlignment="1">
      <alignment horizontal="left" vertical="center" wrapText="1"/>
    </xf>
    <xf numFmtId="0" fontId="0" fillId="0" borderId="0" xfId="0" applyFont="1" applyFill="1" applyAlignment="1">
      <alignment horizontal="left" vertical="top" wrapText="1"/>
    </xf>
    <xf numFmtId="0" fontId="11" fillId="33" borderId="19" xfId="0" applyFont="1" applyFill="1" applyBorder="1" applyAlignment="1">
      <alignment horizontal="left" vertical="top" wrapText="1"/>
    </xf>
    <xf numFmtId="0" fontId="11" fillId="0" borderId="0" xfId="0" applyFont="1" applyFill="1" applyBorder="1" applyAlignment="1">
      <alignment horizontal="left"/>
    </xf>
    <xf numFmtId="0" fontId="11" fillId="0" borderId="16" xfId="0" applyFont="1" applyFill="1" applyBorder="1" applyAlignment="1">
      <alignment horizontal="left"/>
    </xf>
    <xf numFmtId="0" fontId="11" fillId="0" borderId="13" xfId="0" applyFont="1" applyFill="1" applyBorder="1" applyAlignment="1">
      <alignment horizontal="left"/>
    </xf>
    <xf numFmtId="0" fontId="11" fillId="0" borderId="15" xfId="0" applyFont="1" applyFill="1" applyBorder="1" applyAlignment="1">
      <alignment horizontal="left"/>
    </xf>
    <xf numFmtId="0" fontId="11" fillId="37" borderId="11" xfId="0" applyFont="1" applyFill="1" applyBorder="1" applyAlignment="1">
      <alignment horizontal="left" vertical="top" wrapText="1"/>
    </xf>
    <xf numFmtId="0" fontId="11" fillId="37" borderId="19" xfId="0" applyFont="1" applyFill="1" applyBorder="1" applyAlignment="1">
      <alignment horizontal="left" vertical="top" wrapText="1"/>
    </xf>
    <xf numFmtId="0" fontId="11" fillId="37" borderId="12" xfId="0" applyFont="1" applyFill="1" applyBorder="1" applyAlignment="1">
      <alignment horizontal="left"/>
    </xf>
    <xf numFmtId="0" fontId="4" fillId="37" borderId="18" xfId="0" applyFont="1" applyFill="1" applyBorder="1" applyAlignment="1">
      <alignment horizontal="center" vertical="top" wrapText="1"/>
    </xf>
    <xf numFmtId="0" fontId="4" fillId="37" borderId="15" xfId="0" applyFont="1" applyFill="1" applyBorder="1" applyAlignment="1">
      <alignment horizontal="center" vertical="top" wrapText="1"/>
    </xf>
    <xf numFmtId="0" fontId="4" fillId="37" borderId="20" xfId="0" applyFont="1" applyFill="1" applyBorder="1" applyAlignment="1">
      <alignment horizontal="center" vertical="top" wrapText="1"/>
    </xf>
    <xf numFmtId="0" fontId="4" fillId="37" borderId="17" xfId="0" applyFont="1" applyFill="1" applyBorder="1" applyAlignment="1">
      <alignment horizontal="center" vertical="top" wrapText="1"/>
    </xf>
    <xf numFmtId="0" fontId="0" fillId="12" borderId="11" xfId="0" applyFont="1" applyFill="1" applyBorder="1" applyAlignment="1">
      <alignment/>
    </xf>
    <xf numFmtId="0" fontId="0" fillId="12" borderId="10" xfId="0" applyFont="1" applyFill="1" applyBorder="1" applyAlignment="1">
      <alignment/>
    </xf>
    <xf numFmtId="0" fontId="13" fillId="37" borderId="12"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vertical="top" wrapText="1"/>
    </xf>
    <xf numFmtId="0" fontId="10" fillId="0" borderId="0" xfId="0" applyFont="1" applyFill="1" applyAlignment="1">
      <alignment horizontal="center" vertical="top"/>
    </xf>
    <xf numFmtId="0" fontId="0" fillId="0" borderId="18" xfId="0" applyFont="1" applyFill="1" applyBorder="1" applyAlignment="1">
      <alignment vertical="top" wrapText="1"/>
    </xf>
    <xf numFmtId="0" fontId="0" fillId="0" borderId="13"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11" fillId="33" borderId="12" xfId="0" applyFont="1" applyFill="1" applyBorder="1" applyAlignment="1">
      <alignment horizontal="left"/>
    </xf>
    <xf numFmtId="0" fontId="0" fillId="12" borderId="11" xfId="0" applyFont="1" applyFill="1" applyBorder="1" applyAlignment="1">
      <alignment horizontal="center" vertical="center" wrapText="1"/>
    </xf>
    <xf numFmtId="0" fontId="0" fillId="12" borderId="10" xfId="0" applyFont="1" applyFill="1" applyBorder="1" applyAlignment="1">
      <alignment horizontal="center" vertical="center" wrapText="1"/>
    </xf>
    <xf numFmtId="0" fontId="13" fillId="37" borderId="18" xfId="0" applyFont="1" applyFill="1" applyBorder="1" applyAlignment="1">
      <alignment horizontal="center" vertical="top" wrapText="1"/>
    </xf>
    <xf numFmtId="0" fontId="13" fillId="37" borderId="15" xfId="0" applyFont="1" applyFill="1" applyBorder="1" applyAlignment="1">
      <alignment horizontal="center" vertical="top" wrapText="1"/>
    </xf>
    <xf numFmtId="0" fontId="13" fillId="37" borderId="20" xfId="0" applyFont="1" applyFill="1" applyBorder="1" applyAlignment="1">
      <alignment horizontal="center" vertical="top" wrapText="1"/>
    </xf>
    <xf numFmtId="0" fontId="13" fillId="37" borderId="17" xfId="0" applyFont="1" applyFill="1" applyBorder="1" applyAlignment="1">
      <alignment horizontal="center" vertical="top" wrapText="1"/>
    </xf>
    <xf numFmtId="0" fontId="5" fillId="0" borderId="11"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10" xfId="0" applyFont="1" applyFill="1" applyBorder="1" applyAlignment="1">
      <alignment horizontal="left" vertical="top" wrapText="1"/>
    </xf>
    <xf numFmtId="0" fontId="14" fillId="0" borderId="0" xfId="0" applyFont="1" applyFill="1" applyAlignment="1">
      <alignment horizontal="left" vertical="top" wrapText="1"/>
    </xf>
    <xf numFmtId="1" fontId="3" fillId="37" borderId="11" xfId="0" applyNumberFormat="1" applyFont="1" applyFill="1" applyBorder="1" applyAlignment="1">
      <alignment horizontal="center"/>
    </xf>
    <xf numFmtId="1" fontId="3" fillId="37" borderId="10" xfId="0" applyNumberFormat="1" applyFont="1" applyFill="1" applyBorder="1" applyAlignment="1">
      <alignment horizontal="center"/>
    </xf>
    <xf numFmtId="0" fontId="5" fillId="0" borderId="0" xfId="0" applyFont="1" applyFill="1" applyAlignment="1">
      <alignment horizontal="center" vertical="top" wrapText="1"/>
    </xf>
    <xf numFmtId="0" fontId="0" fillId="0" borderId="15"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11" fillId="0" borderId="14" xfId="0" applyFont="1" applyFill="1" applyBorder="1" applyAlignment="1">
      <alignment horizontal="left"/>
    </xf>
    <xf numFmtId="0" fontId="0" fillId="37"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7" borderId="24" xfId="0" applyFont="1" applyFill="1" applyBorder="1" applyAlignment="1">
      <alignment horizontal="left" vertical="center" wrapText="1"/>
    </xf>
    <xf numFmtId="0" fontId="0" fillId="33" borderId="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3" fillId="0" borderId="18" xfId="0" applyFont="1" applyFill="1" applyBorder="1" applyAlignment="1">
      <alignment vertical="top" wrapText="1"/>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0" xfId="0" applyFont="1" applyFill="1" applyBorder="1" applyAlignment="1">
      <alignment vertical="top" wrapText="1"/>
    </xf>
    <xf numFmtId="0" fontId="3" fillId="0" borderId="20" xfId="0" applyFont="1" applyFill="1" applyBorder="1" applyAlignment="1">
      <alignment vertical="top" wrapText="1"/>
    </xf>
    <xf numFmtId="0" fontId="3" fillId="0" borderId="21" xfId="0" applyFont="1" applyFill="1" applyBorder="1" applyAlignment="1">
      <alignment vertical="top" wrapText="1"/>
    </xf>
    <xf numFmtId="172" fontId="4" fillId="0" borderId="18" xfId="0" applyNumberFormat="1" applyFont="1" applyFill="1" applyBorder="1" applyAlignment="1">
      <alignment horizontal="center" vertical="top" wrapText="1"/>
    </xf>
    <xf numFmtId="172" fontId="4" fillId="0" borderId="15" xfId="0" applyNumberFormat="1" applyFont="1" applyFill="1" applyBorder="1" applyAlignment="1">
      <alignment horizontal="center" vertical="top" wrapText="1"/>
    </xf>
    <xf numFmtId="172" fontId="4" fillId="0" borderId="20" xfId="0" applyNumberFormat="1" applyFont="1" applyFill="1" applyBorder="1" applyAlignment="1">
      <alignment horizontal="center" vertical="top" wrapText="1"/>
    </xf>
    <xf numFmtId="172" fontId="4" fillId="0" borderId="17" xfId="0" applyNumberFormat="1" applyFont="1" applyFill="1" applyBorder="1" applyAlignment="1">
      <alignment horizontal="center" vertical="top" wrapText="1"/>
    </xf>
    <xf numFmtId="0" fontId="0" fillId="33" borderId="18" xfId="0" applyFont="1" applyFill="1" applyBorder="1" applyAlignment="1">
      <alignment wrapText="1"/>
    </xf>
    <xf numFmtId="0" fontId="0" fillId="33" borderId="13" xfId="0" applyFont="1" applyFill="1" applyBorder="1" applyAlignment="1">
      <alignment wrapText="1"/>
    </xf>
    <xf numFmtId="0" fontId="0" fillId="33" borderId="14" xfId="0" applyFont="1" applyFill="1" applyBorder="1" applyAlignment="1">
      <alignment wrapText="1"/>
    </xf>
    <xf numFmtId="0" fontId="0" fillId="33" borderId="0" xfId="0" applyFont="1" applyFill="1" applyAlignment="1">
      <alignment wrapText="1"/>
    </xf>
    <xf numFmtId="0" fontId="0" fillId="0" borderId="0" xfId="0" applyFont="1" applyFill="1" applyAlignment="1">
      <alignment horizontal="left" vertical="center" wrapText="1"/>
    </xf>
    <xf numFmtId="1" fontId="0" fillId="37" borderId="0" xfId="0" applyNumberFormat="1" applyFont="1" applyFill="1" applyAlignment="1">
      <alignment horizontal="left"/>
    </xf>
    <xf numFmtId="0" fontId="0" fillId="37" borderId="0" xfId="0" applyFont="1" applyFill="1" applyAlignment="1">
      <alignment horizontal="left"/>
    </xf>
    <xf numFmtId="0" fontId="0" fillId="37" borderId="0" xfId="0" applyFont="1" applyFill="1" applyAlignment="1">
      <alignment/>
    </xf>
    <xf numFmtId="0" fontId="10" fillId="0" borderId="0" xfId="0" applyFont="1" applyFill="1" applyAlignment="1">
      <alignment horizontal="center" vertical="top" wrapText="1"/>
    </xf>
    <xf numFmtId="0" fontId="13" fillId="0" borderId="18"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2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0" fillId="0" borderId="11" xfId="0" applyFont="1" applyBorder="1" applyAlignment="1">
      <alignment horizontal="center"/>
    </xf>
    <xf numFmtId="0" fontId="10" fillId="0" borderId="19" xfId="0" applyFont="1" applyBorder="1" applyAlignment="1">
      <alignment horizontal="center"/>
    </xf>
    <xf numFmtId="0" fontId="10" fillId="0" borderId="10"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1" fillId="0" borderId="10" xfId="0" applyFont="1" applyBorder="1" applyAlignment="1">
      <alignment horizontal="center"/>
    </xf>
    <xf numFmtId="0" fontId="0" fillId="0" borderId="21" xfId="0" applyBorder="1" applyAlignment="1">
      <alignment horizontal="left" vertical="top" wrapText="1"/>
    </xf>
    <xf numFmtId="0" fontId="0" fillId="0" borderId="17"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center" wrapText="1"/>
    </xf>
    <xf numFmtId="0" fontId="0"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5" xfId="0" applyFont="1" applyBorder="1" applyAlignment="1">
      <alignment horizontal="center" vertical="center" wrapText="1"/>
    </xf>
    <xf numFmtId="0" fontId="0" fillId="0" borderId="20" xfId="0" applyFont="1" applyBorder="1" applyAlignment="1">
      <alignment horizontal="center"/>
    </xf>
    <xf numFmtId="0" fontId="0" fillId="0" borderId="21" xfId="0" applyFont="1" applyBorder="1" applyAlignment="1">
      <alignment horizontal="center"/>
    </xf>
    <xf numFmtId="0" fontId="0" fillId="0" borderId="17"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5"/>
  <sheetViews>
    <sheetView tabSelected="1" zoomScaleSheetLayoutView="100" zoomScalePageLayoutView="0" workbookViewId="0" topLeftCell="A1">
      <selection activeCell="A22" sqref="A22:K25"/>
    </sheetView>
  </sheetViews>
  <sheetFormatPr defaultColWidth="9.140625" defaultRowHeight="12.75"/>
  <sheetData>
    <row r="1" spans="1:11" ht="12.75">
      <c r="A1" s="252" t="str">
        <f>'Base data'!A1:I1</f>
        <v>Your name</v>
      </c>
      <c r="B1" s="252"/>
      <c r="C1" s="252"/>
      <c r="F1" s="254" t="str">
        <f>'Base data'!B4</f>
        <v>Canary/Sparrow/Finches</v>
      </c>
      <c r="G1" s="254"/>
      <c r="H1" s="254"/>
      <c r="I1" s="254"/>
      <c r="J1" s="254"/>
      <c r="K1" s="254"/>
    </row>
    <row r="2" spans="1:11" ht="27.75" customHeight="1">
      <c r="A2" s="253" t="s">
        <v>106</v>
      </c>
      <c r="B2" s="253"/>
      <c r="C2" s="253"/>
      <c r="D2" s="253"/>
      <c r="E2" s="253"/>
      <c r="F2" s="253"/>
      <c r="G2" s="253"/>
      <c r="H2" s="253"/>
      <c r="I2" s="253"/>
      <c r="J2" s="253"/>
      <c r="K2" s="253"/>
    </row>
    <row r="3" spans="1:11" ht="57" customHeight="1">
      <c r="A3" s="245" t="s">
        <v>230</v>
      </c>
      <c r="B3" s="245"/>
      <c r="C3" s="245"/>
      <c r="D3" s="245"/>
      <c r="E3" s="245"/>
      <c r="F3" s="245"/>
      <c r="G3" s="245"/>
      <c r="H3" s="245"/>
      <c r="I3" s="245"/>
      <c r="J3" s="245"/>
      <c r="K3" s="245"/>
    </row>
    <row r="4" spans="1:11" ht="43.5" customHeight="1">
      <c r="A4" s="245" t="s">
        <v>231</v>
      </c>
      <c r="B4" s="245"/>
      <c r="C4" s="245"/>
      <c r="D4" s="245"/>
      <c r="E4" s="245"/>
      <c r="F4" s="245"/>
      <c r="G4" s="245"/>
      <c r="H4" s="245"/>
      <c r="I4" s="245"/>
      <c r="J4" s="245"/>
      <c r="K4" s="245"/>
    </row>
    <row r="5" spans="1:11" ht="15" customHeight="1">
      <c r="A5" s="245" t="s">
        <v>113</v>
      </c>
      <c r="B5" s="245"/>
      <c r="C5" s="245"/>
      <c r="D5" s="245"/>
      <c r="E5" s="245"/>
      <c r="F5" s="245"/>
      <c r="G5" s="245"/>
      <c r="H5" s="245"/>
      <c r="I5" s="245"/>
      <c r="J5" s="245"/>
      <c r="K5" s="245"/>
    </row>
    <row r="6" spans="1:11" ht="15" customHeight="1">
      <c r="A6" s="245"/>
      <c r="B6" s="245"/>
      <c r="C6" s="245"/>
      <c r="D6" s="245"/>
      <c r="E6" s="245"/>
      <c r="F6" s="245"/>
      <c r="G6" s="245"/>
      <c r="H6" s="245"/>
      <c r="I6" s="245"/>
      <c r="J6" s="245"/>
      <c r="K6" s="245"/>
    </row>
    <row r="7" spans="1:11" ht="60.75" customHeight="1">
      <c r="A7" s="245" t="s">
        <v>124</v>
      </c>
      <c r="B7" s="245"/>
      <c r="C7" s="245"/>
      <c r="D7" s="245"/>
      <c r="E7" s="245"/>
      <c r="F7" s="245"/>
      <c r="G7" s="245"/>
      <c r="H7" s="245"/>
      <c r="I7" s="245"/>
      <c r="J7" s="245"/>
      <c r="K7" s="245"/>
    </row>
    <row r="8" spans="1:11" ht="15" customHeight="1">
      <c r="A8" s="247" t="s">
        <v>107</v>
      </c>
      <c r="B8" s="247"/>
      <c r="C8" s="247"/>
      <c r="D8" s="247"/>
      <c r="E8" s="247"/>
      <c r="F8" s="247"/>
      <c r="G8" s="247"/>
      <c r="H8" s="247"/>
      <c r="I8" s="247"/>
      <c r="J8" s="247"/>
      <c r="K8" s="247"/>
    </row>
    <row r="9" spans="1:11" ht="15" customHeight="1">
      <c r="A9" s="245" t="s">
        <v>108</v>
      </c>
      <c r="B9" s="245"/>
      <c r="C9" s="245"/>
      <c r="D9" s="245"/>
      <c r="E9" s="245"/>
      <c r="F9" s="245"/>
      <c r="G9" s="245"/>
      <c r="H9" s="245"/>
      <c r="I9" s="245"/>
      <c r="J9" s="245"/>
      <c r="K9" s="245"/>
    </row>
    <row r="10" spans="1:11" ht="15" customHeight="1">
      <c r="A10" s="245"/>
      <c r="B10" s="245"/>
      <c r="C10" s="245"/>
      <c r="D10" s="245"/>
      <c r="E10" s="245"/>
      <c r="F10" s="245"/>
      <c r="G10" s="245"/>
      <c r="H10" s="245"/>
      <c r="I10" s="245"/>
      <c r="J10" s="245"/>
      <c r="K10" s="245"/>
    </row>
    <row r="11" spans="1:11" ht="15" customHeight="1">
      <c r="A11" s="245"/>
      <c r="B11" s="245"/>
      <c r="C11" s="245"/>
      <c r="D11" s="245"/>
      <c r="E11" s="245"/>
      <c r="F11" s="245"/>
      <c r="G11" s="245"/>
      <c r="H11" s="245"/>
      <c r="I11" s="245"/>
      <c r="J11" s="245"/>
      <c r="K11" s="245"/>
    </row>
    <row r="12" spans="1:10" ht="12.75">
      <c r="A12" s="153"/>
      <c r="B12" s="153"/>
      <c r="C12" s="153"/>
      <c r="D12" s="153"/>
      <c r="E12" s="153"/>
      <c r="F12" s="153"/>
      <c r="G12" s="153"/>
      <c r="H12" s="153"/>
      <c r="I12" s="153"/>
      <c r="J12" s="153"/>
    </row>
    <row r="13" spans="1:10" ht="12.75">
      <c r="A13" s="153"/>
      <c r="B13" s="153"/>
      <c r="C13" s="153"/>
      <c r="D13" s="153"/>
      <c r="E13" s="153"/>
      <c r="F13" s="153"/>
      <c r="G13" s="154"/>
      <c r="H13" s="154"/>
      <c r="I13" s="154"/>
      <c r="J13" s="153"/>
    </row>
    <row r="14" spans="1:10" ht="12.75">
      <c r="A14" s="153"/>
      <c r="B14" s="153"/>
      <c r="C14" s="153"/>
      <c r="D14" s="153"/>
      <c r="E14" s="153"/>
      <c r="F14" s="154"/>
      <c r="G14" s="250" t="s">
        <v>52</v>
      </c>
      <c r="H14" s="250"/>
      <c r="I14" s="250"/>
      <c r="J14" s="153"/>
    </row>
    <row r="15" spans="1:10" ht="12.75" customHeight="1">
      <c r="A15" s="153"/>
      <c r="B15" s="153"/>
      <c r="C15" s="153"/>
      <c r="D15" s="153"/>
      <c r="E15" s="154"/>
      <c r="F15" s="154"/>
      <c r="G15" s="250"/>
      <c r="H15" s="250"/>
      <c r="I15" s="250"/>
      <c r="J15" s="153"/>
    </row>
    <row r="16" spans="1:10" ht="14.25" customHeight="1">
      <c r="A16" s="153"/>
      <c r="B16" s="153"/>
      <c r="C16" s="153"/>
      <c r="D16" s="248" t="s">
        <v>110</v>
      </c>
      <c r="E16" s="248"/>
      <c r="F16" s="248"/>
      <c r="G16" s="255"/>
      <c r="H16" s="255"/>
      <c r="I16" s="255"/>
      <c r="J16" s="153"/>
    </row>
    <row r="17" spans="1:11" ht="27.75" customHeight="1">
      <c r="A17" s="153"/>
      <c r="B17" s="248" t="s">
        <v>50</v>
      </c>
      <c r="C17" s="248"/>
      <c r="D17" s="249" t="s">
        <v>111</v>
      </c>
      <c r="E17" s="248"/>
      <c r="F17" s="248"/>
      <c r="G17" s="249" t="s">
        <v>109</v>
      </c>
      <c r="H17" s="249"/>
      <c r="I17" s="249"/>
      <c r="J17" s="248" t="s">
        <v>144</v>
      </c>
      <c r="K17" s="248"/>
    </row>
    <row r="18" spans="1:10" ht="12.75">
      <c r="A18" s="153"/>
      <c r="B18" s="153"/>
      <c r="C18" s="153"/>
      <c r="D18" s="153"/>
      <c r="E18" s="153"/>
      <c r="F18" s="153"/>
      <c r="G18" s="153"/>
      <c r="H18" s="153"/>
      <c r="I18" s="153"/>
      <c r="J18" s="153"/>
    </row>
    <row r="19" spans="1:11" ht="12.75">
      <c r="A19" s="245" t="s">
        <v>112</v>
      </c>
      <c r="B19" s="245"/>
      <c r="C19" s="245"/>
      <c r="D19" s="245"/>
      <c r="E19" s="245"/>
      <c r="F19" s="245"/>
      <c r="G19" s="245"/>
      <c r="H19" s="245"/>
      <c r="I19" s="245"/>
      <c r="J19" s="245"/>
      <c r="K19" s="245"/>
    </row>
    <row r="20" spans="1:11" ht="12.75">
      <c r="A20" s="245"/>
      <c r="B20" s="245"/>
      <c r="C20" s="245"/>
      <c r="D20" s="245"/>
      <c r="E20" s="245"/>
      <c r="F20" s="245"/>
      <c r="G20" s="245"/>
      <c r="H20" s="245"/>
      <c r="I20" s="245"/>
      <c r="J20" s="245"/>
      <c r="K20" s="245"/>
    </row>
    <row r="21" spans="1:11" ht="8.25" customHeight="1">
      <c r="A21" s="245"/>
      <c r="B21" s="245"/>
      <c r="C21" s="245"/>
      <c r="D21" s="245"/>
      <c r="E21" s="245"/>
      <c r="F21" s="245"/>
      <c r="G21" s="245"/>
      <c r="H21" s="245"/>
      <c r="I21" s="245"/>
      <c r="J21" s="245"/>
      <c r="K21" s="245"/>
    </row>
    <row r="22" spans="1:11" ht="12.75">
      <c r="A22" s="245" t="s">
        <v>229</v>
      </c>
      <c r="B22" s="245"/>
      <c r="C22" s="245"/>
      <c r="D22" s="245"/>
      <c r="E22" s="245"/>
      <c r="F22" s="245"/>
      <c r="G22" s="245"/>
      <c r="H22" s="245"/>
      <c r="I22" s="245"/>
      <c r="J22" s="245"/>
      <c r="K22" s="245"/>
    </row>
    <row r="23" spans="1:11" ht="12.75">
      <c r="A23" s="245"/>
      <c r="B23" s="245"/>
      <c r="C23" s="245"/>
      <c r="D23" s="245"/>
      <c r="E23" s="245"/>
      <c r="F23" s="245"/>
      <c r="G23" s="245"/>
      <c r="H23" s="245"/>
      <c r="I23" s="245"/>
      <c r="J23" s="245"/>
      <c r="K23" s="245"/>
    </row>
    <row r="24" spans="1:11" ht="12.75">
      <c r="A24" s="245"/>
      <c r="B24" s="245"/>
      <c r="C24" s="245"/>
      <c r="D24" s="245"/>
      <c r="E24" s="245"/>
      <c r="F24" s="245"/>
      <c r="G24" s="245"/>
      <c r="H24" s="245"/>
      <c r="I24" s="245"/>
      <c r="J24" s="245"/>
      <c r="K24" s="245"/>
    </row>
    <row r="25" spans="1:11" ht="7.5" customHeight="1">
      <c r="A25" s="245"/>
      <c r="B25" s="245"/>
      <c r="C25" s="245"/>
      <c r="D25" s="245"/>
      <c r="E25" s="245"/>
      <c r="F25" s="245"/>
      <c r="G25" s="245"/>
      <c r="H25" s="245"/>
      <c r="I25" s="245"/>
      <c r="J25" s="245"/>
      <c r="K25" s="245"/>
    </row>
    <row r="26" spans="1:11" ht="12.75">
      <c r="A26" s="245" t="s">
        <v>233</v>
      </c>
      <c r="B26" s="245"/>
      <c r="C26" s="245"/>
      <c r="D26" s="245"/>
      <c r="E26" s="245"/>
      <c r="F26" s="245"/>
      <c r="G26" s="245"/>
      <c r="H26" s="245"/>
      <c r="I26" s="245"/>
      <c r="J26" s="245"/>
      <c r="K26" s="245"/>
    </row>
    <row r="27" spans="1:11" ht="12.75">
      <c r="A27" s="245"/>
      <c r="B27" s="245"/>
      <c r="C27" s="245"/>
      <c r="D27" s="245"/>
      <c r="E27" s="245"/>
      <c r="F27" s="245"/>
      <c r="G27" s="245"/>
      <c r="H27" s="245"/>
      <c r="I27" s="245"/>
      <c r="J27" s="245"/>
      <c r="K27" s="245"/>
    </row>
    <row r="28" spans="1:11" ht="12.75">
      <c r="A28" s="245"/>
      <c r="B28" s="245"/>
      <c r="C28" s="245"/>
      <c r="D28" s="245"/>
      <c r="E28" s="245"/>
      <c r="F28" s="245"/>
      <c r="G28" s="245"/>
      <c r="H28" s="245"/>
      <c r="I28" s="245"/>
      <c r="J28" s="245"/>
      <c r="K28" s="245"/>
    </row>
    <row r="29" spans="1:11" ht="12.75">
      <c r="A29" s="245"/>
      <c r="B29" s="245"/>
      <c r="C29" s="245"/>
      <c r="D29" s="245"/>
      <c r="E29" s="245"/>
      <c r="F29" s="245"/>
      <c r="G29" s="245"/>
      <c r="H29" s="245"/>
      <c r="I29" s="245"/>
      <c r="J29" s="245"/>
      <c r="K29" s="245"/>
    </row>
    <row r="30" spans="1:11" ht="8.25" customHeight="1">
      <c r="A30" s="245"/>
      <c r="B30" s="245"/>
      <c r="C30" s="245"/>
      <c r="D30" s="245"/>
      <c r="E30" s="245"/>
      <c r="F30" s="245"/>
      <c r="G30" s="245"/>
      <c r="H30" s="245"/>
      <c r="I30" s="245"/>
      <c r="J30" s="245"/>
      <c r="K30" s="245"/>
    </row>
    <row r="31" spans="1:11" ht="12.75">
      <c r="A31" s="251" t="s">
        <v>114</v>
      </c>
      <c r="B31" s="251"/>
      <c r="C31" s="251"/>
      <c r="D31" s="251"/>
      <c r="E31" s="251"/>
      <c r="F31" s="251"/>
      <c r="G31" s="251"/>
      <c r="H31" s="251"/>
      <c r="I31" s="251"/>
      <c r="J31" s="251"/>
      <c r="K31" s="251"/>
    </row>
    <row r="32" spans="1:11" ht="57.75" customHeight="1">
      <c r="A32" s="245" t="s">
        <v>115</v>
      </c>
      <c r="B32" s="245"/>
      <c r="C32" s="245"/>
      <c r="D32" s="245"/>
      <c r="E32" s="245"/>
      <c r="F32" s="245"/>
      <c r="G32" s="245"/>
      <c r="H32" s="245"/>
      <c r="I32" s="245"/>
      <c r="J32" s="245"/>
      <c r="K32" s="245"/>
    </row>
    <row r="33" spans="1:11" ht="36" customHeight="1">
      <c r="A33" s="245" t="s">
        <v>116</v>
      </c>
      <c r="B33" s="245"/>
      <c r="C33" s="245"/>
      <c r="D33" s="245"/>
      <c r="E33" s="245"/>
      <c r="F33" s="245"/>
      <c r="G33" s="245"/>
      <c r="H33" s="245"/>
      <c r="I33" s="245"/>
      <c r="J33" s="245"/>
      <c r="K33" s="245"/>
    </row>
    <row r="34" spans="1:11" ht="36" customHeight="1">
      <c r="A34" s="245" t="s">
        <v>251</v>
      </c>
      <c r="B34" s="245"/>
      <c r="C34" s="245"/>
      <c r="D34" s="245"/>
      <c r="E34" s="245"/>
      <c r="F34" s="245"/>
      <c r="G34" s="245"/>
      <c r="H34" s="245"/>
      <c r="I34" s="245"/>
      <c r="J34" s="245"/>
      <c r="K34" s="245"/>
    </row>
    <row r="35" spans="1:11" ht="35.25" customHeight="1">
      <c r="A35" s="245" t="s">
        <v>117</v>
      </c>
      <c r="B35" s="245"/>
      <c r="C35" s="245"/>
      <c r="D35" s="245"/>
      <c r="E35" s="245"/>
      <c r="F35" s="245"/>
      <c r="G35" s="245"/>
      <c r="H35" s="245"/>
      <c r="I35" s="245"/>
      <c r="J35" s="245"/>
      <c r="K35" s="245"/>
    </row>
    <row r="36" spans="1:11" ht="21.75" customHeight="1">
      <c r="A36" s="245" t="s">
        <v>118</v>
      </c>
      <c r="B36" s="245"/>
      <c r="C36" s="245"/>
      <c r="D36" s="245"/>
      <c r="E36" s="245"/>
      <c r="F36" s="245"/>
      <c r="G36" s="245"/>
      <c r="H36" s="245"/>
      <c r="I36" s="245"/>
      <c r="J36" s="245"/>
      <c r="K36" s="245"/>
    </row>
    <row r="37" spans="1:11" ht="58.5" customHeight="1">
      <c r="A37" s="245" t="s">
        <v>236</v>
      </c>
      <c r="B37" s="245"/>
      <c r="C37" s="245"/>
      <c r="D37" s="245"/>
      <c r="E37" s="245"/>
      <c r="F37" s="245"/>
      <c r="G37" s="245"/>
      <c r="H37" s="245"/>
      <c r="I37" s="245"/>
      <c r="J37" s="245"/>
      <c r="K37" s="245"/>
    </row>
    <row r="38" spans="1:11" ht="23.25" customHeight="1">
      <c r="A38" s="245" t="s">
        <v>237</v>
      </c>
      <c r="B38" s="245"/>
      <c r="C38" s="245"/>
      <c r="D38" s="245"/>
      <c r="E38" s="245"/>
      <c r="F38" s="245"/>
      <c r="G38" s="245"/>
      <c r="H38" s="245"/>
      <c r="I38" s="245"/>
      <c r="J38" s="245"/>
      <c r="K38" s="245"/>
    </row>
    <row r="39" spans="1:11" ht="12.75" customHeight="1">
      <c r="A39" s="245" t="s">
        <v>119</v>
      </c>
      <c r="B39" s="245"/>
      <c r="C39" s="245"/>
      <c r="D39" s="245"/>
      <c r="E39" s="245"/>
      <c r="F39" s="245"/>
      <c r="G39" s="245"/>
      <c r="H39" s="245"/>
      <c r="I39" s="245"/>
      <c r="J39" s="245"/>
      <c r="K39" s="245"/>
    </row>
    <row r="40" spans="1:11" ht="12.75">
      <c r="A40" s="245"/>
      <c r="B40" s="245"/>
      <c r="C40" s="245"/>
      <c r="D40" s="245"/>
      <c r="E40" s="245"/>
      <c r="F40" s="245"/>
      <c r="G40" s="245"/>
      <c r="H40" s="245"/>
      <c r="I40" s="245"/>
      <c r="J40" s="245"/>
      <c r="K40" s="245"/>
    </row>
    <row r="41" spans="1:11" ht="12.75" customHeight="1">
      <c r="A41" s="247" t="s">
        <v>120</v>
      </c>
      <c r="B41" s="247"/>
      <c r="C41" s="247"/>
      <c r="D41" s="247"/>
      <c r="E41" s="247"/>
      <c r="F41" s="247"/>
      <c r="G41" s="247"/>
      <c r="H41" s="247"/>
      <c r="I41" s="247"/>
      <c r="J41" s="247"/>
      <c r="K41" s="247"/>
    </row>
    <row r="42" spans="1:11" ht="60.75" customHeight="1">
      <c r="A42" s="245" t="s">
        <v>228</v>
      </c>
      <c r="B42" s="245"/>
      <c r="C42" s="245"/>
      <c r="D42" s="245"/>
      <c r="E42" s="245"/>
      <c r="F42" s="245"/>
      <c r="G42" s="245"/>
      <c r="H42" s="245"/>
      <c r="I42" s="245"/>
      <c r="J42" s="245"/>
      <c r="K42" s="245"/>
    </row>
    <row r="43" spans="1:11" ht="18.75" customHeight="1">
      <c r="A43" s="153"/>
      <c r="B43" s="247" t="s">
        <v>121</v>
      </c>
      <c r="C43" s="247"/>
      <c r="D43" s="247"/>
      <c r="E43" s="247"/>
      <c r="F43" s="247"/>
      <c r="G43" s="247"/>
      <c r="H43" s="247"/>
      <c r="I43" s="247"/>
      <c r="J43" s="247"/>
      <c r="K43" s="247"/>
    </row>
    <row r="44" spans="1:11" ht="60" customHeight="1">
      <c r="A44" s="153"/>
      <c r="B44" s="245" t="s">
        <v>123</v>
      </c>
      <c r="C44" s="245"/>
      <c r="D44" s="245"/>
      <c r="E44" s="245"/>
      <c r="F44" s="245"/>
      <c r="G44" s="245"/>
      <c r="H44" s="245"/>
      <c r="I44" s="245"/>
      <c r="J44" s="245"/>
      <c r="K44" s="245"/>
    </row>
    <row r="45" spans="1:11" ht="33.75" customHeight="1">
      <c r="A45" s="153"/>
      <c r="B45" s="245" t="s">
        <v>125</v>
      </c>
      <c r="C45" s="245"/>
      <c r="D45" s="245"/>
      <c r="E45" s="245"/>
      <c r="F45" s="245"/>
      <c r="G45" s="245"/>
      <c r="H45" s="245"/>
      <c r="I45" s="245"/>
      <c r="J45" s="245"/>
      <c r="K45" s="245"/>
    </row>
    <row r="46" spans="1:11" ht="16.5" customHeight="1">
      <c r="A46" s="153"/>
      <c r="B46" s="247" t="s">
        <v>122</v>
      </c>
      <c r="C46" s="247"/>
      <c r="D46" s="247"/>
      <c r="E46" s="247"/>
      <c r="F46" s="247"/>
      <c r="G46" s="247"/>
      <c r="H46" s="247"/>
      <c r="I46" s="247"/>
      <c r="J46" s="247"/>
      <c r="K46" s="247"/>
    </row>
    <row r="47" spans="1:11" ht="55.5" customHeight="1">
      <c r="A47" s="153"/>
      <c r="B47" s="245" t="s">
        <v>126</v>
      </c>
      <c r="C47" s="245"/>
      <c r="D47" s="245"/>
      <c r="E47" s="245"/>
      <c r="F47" s="245"/>
      <c r="G47" s="245"/>
      <c r="H47" s="245"/>
      <c r="I47" s="245"/>
      <c r="J47" s="245"/>
      <c r="K47" s="245"/>
    </row>
    <row r="48" spans="1:11" ht="32.25" customHeight="1">
      <c r="A48" s="153"/>
      <c r="B48" s="245" t="s">
        <v>128</v>
      </c>
      <c r="C48" s="245"/>
      <c r="D48" s="245"/>
      <c r="E48" s="245"/>
      <c r="F48" s="245"/>
      <c r="G48" s="245"/>
      <c r="H48" s="245"/>
      <c r="I48" s="245"/>
      <c r="J48" s="245"/>
      <c r="K48" s="245"/>
    </row>
    <row r="49" spans="1:11" ht="17.25" customHeight="1">
      <c r="A49" s="153"/>
      <c r="B49" s="247" t="s">
        <v>127</v>
      </c>
      <c r="C49" s="247"/>
      <c r="D49" s="247"/>
      <c r="E49" s="247"/>
      <c r="F49" s="247"/>
      <c r="G49" s="247"/>
      <c r="H49" s="247"/>
      <c r="I49" s="247"/>
      <c r="J49" s="247"/>
      <c r="K49" s="247"/>
    </row>
    <row r="50" spans="1:11" ht="45" customHeight="1">
      <c r="A50" s="153"/>
      <c r="B50" s="245" t="s">
        <v>238</v>
      </c>
      <c r="C50" s="245"/>
      <c r="D50" s="245"/>
      <c r="E50" s="245"/>
      <c r="F50" s="245"/>
      <c r="G50" s="245"/>
      <c r="H50" s="245"/>
      <c r="I50" s="245"/>
      <c r="J50" s="245"/>
      <c r="K50" s="245"/>
    </row>
    <row r="51" spans="1:11" ht="16.5" customHeight="1">
      <c r="A51" s="153"/>
      <c r="B51" s="247" t="s">
        <v>129</v>
      </c>
      <c r="C51" s="247"/>
      <c r="D51" s="247"/>
      <c r="E51" s="247"/>
      <c r="F51" s="247"/>
      <c r="G51" s="247"/>
      <c r="H51" s="247"/>
      <c r="I51" s="247"/>
      <c r="J51" s="247"/>
      <c r="K51" s="247"/>
    </row>
    <row r="52" spans="1:11" ht="72.75" customHeight="1">
      <c r="A52" s="153"/>
      <c r="B52" s="245" t="s">
        <v>145</v>
      </c>
      <c r="C52" s="245"/>
      <c r="D52" s="245"/>
      <c r="E52" s="245"/>
      <c r="F52" s="245"/>
      <c r="G52" s="245"/>
      <c r="H52" s="245"/>
      <c r="I52" s="245"/>
      <c r="J52" s="245"/>
      <c r="K52" s="245"/>
    </row>
    <row r="53" spans="1:11" ht="15.75" customHeight="1">
      <c r="A53" s="153"/>
      <c r="B53" s="247" t="s">
        <v>130</v>
      </c>
      <c r="C53" s="247"/>
      <c r="D53" s="247"/>
      <c r="E53" s="247"/>
      <c r="F53" s="247"/>
      <c r="G53" s="247"/>
      <c r="H53" s="247"/>
      <c r="I53" s="247"/>
      <c r="J53" s="247"/>
      <c r="K53" s="247"/>
    </row>
    <row r="54" spans="1:11" ht="48.75" customHeight="1">
      <c r="A54" s="153"/>
      <c r="B54" s="245" t="s">
        <v>146</v>
      </c>
      <c r="C54" s="245"/>
      <c r="D54" s="245"/>
      <c r="E54" s="245"/>
      <c r="F54" s="245"/>
      <c r="G54" s="245"/>
      <c r="H54" s="245"/>
      <c r="I54" s="245"/>
      <c r="J54" s="245"/>
      <c r="K54" s="245"/>
    </row>
    <row r="55" spans="1:11" ht="15.75" customHeight="1">
      <c r="A55" s="247" t="s">
        <v>131</v>
      </c>
      <c r="B55" s="247"/>
      <c r="C55" s="247"/>
      <c r="D55" s="247"/>
      <c r="E55" s="247"/>
      <c r="F55" s="247"/>
      <c r="G55" s="247"/>
      <c r="H55" s="247"/>
      <c r="I55" s="247"/>
      <c r="J55" s="247"/>
      <c r="K55" s="247"/>
    </row>
    <row r="56" spans="1:11" ht="12.75">
      <c r="A56" s="153"/>
      <c r="B56" s="245" t="s">
        <v>132</v>
      </c>
      <c r="C56" s="245"/>
      <c r="D56" s="245"/>
      <c r="E56" s="245"/>
      <c r="F56" s="245"/>
      <c r="G56" s="245"/>
      <c r="H56" s="245"/>
      <c r="I56" s="245"/>
      <c r="J56" s="245"/>
      <c r="K56" s="245"/>
    </row>
    <row r="57" spans="1:11" ht="12.75">
      <c r="A57" s="153"/>
      <c r="B57" s="245" t="s">
        <v>133</v>
      </c>
      <c r="C57" s="245"/>
      <c r="D57" s="245"/>
      <c r="E57" s="245"/>
      <c r="F57" s="245"/>
      <c r="G57" s="245"/>
      <c r="H57" s="245"/>
      <c r="I57" s="245"/>
      <c r="J57" s="245"/>
      <c r="K57" s="245"/>
    </row>
    <row r="58" spans="1:11" ht="12.75">
      <c r="A58" s="153"/>
      <c r="B58" s="245" t="s">
        <v>134</v>
      </c>
      <c r="C58" s="245"/>
      <c r="D58" s="245"/>
      <c r="E58" s="245"/>
      <c r="F58" s="245"/>
      <c r="G58" s="245"/>
      <c r="H58" s="245"/>
      <c r="I58" s="245"/>
      <c r="J58" s="245"/>
      <c r="K58" s="245"/>
    </row>
    <row r="59" spans="1:11" ht="12.75">
      <c r="A59" s="153"/>
      <c r="B59" s="245" t="s">
        <v>135</v>
      </c>
      <c r="C59" s="245"/>
      <c r="D59" s="245"/>
      <c r="E59" s="245"/>
      <c r="F59" s="245"/>
      <c r="G59" s="245"/>
      <c r="H59" s="245"/>
      <c r="I59" s="245"/>
      <c r="J59" s="245"/>
      <c r="K59" s="245"/>
    </row>
    <row r="60" spans="1:11" ht="12.75">
      <c r="A60" s="153"/>
      <c r="B60" s="245" t="s">
        <v>136</v>
      </c>
      <c r="C60" s="245"/>
      <c r="D60" s="245"/>
      <c r="E60" s="245"/>
      <c r="F60" s="245"/>
      <c r="G60" s="245"/>
      <c r="H60" s="245"/>
      <c r="I60" s="245"/>
      <c r="J60" s="245"/>
      <c r="K60" s="245"/>
    </row>
    <row r="61" spans="1:11" ht="12.75">
      <c r="A61" s="153"/>
      <c r="B61" s="245" t="s">
        <v>137</v>
      </c>
      <c r="C61" s="245"/>
      <c r="D61" s="245"/>
      <c r="E61" s="245"/>
      <c r="F61" s="245"/>
      <c r="G61" s="245"/>
      <c r="H61" s="245"/>
      <c r="I61" s="245"/>
      <c r="J61" s="245"/>
      <c r="K61" s="245"/>
    </row>
    <row r="62" spans="1:11" ht="12.75">
      <c r="A62" s="153"/>
      <c r="B62" s="245" t="s">
        <v>138</v>
      </c>
      <c r="C62" s="245"/>
      <c r="D62" s="245"/>
      <c r="E62" s="245"/>
      <c r="F62" s="245"/>
      <c r="G62" s="245"/>
      <c r="H62" s="245"/>
      <c r="I62" s="245"/>
      <c r="J62" s="245"/>
      <c r="K62" s="245"/>
    </row>
    <row r="63" spans="1:11" ht="12.75" customHeight="1">
      <c r="A63" s="153"/>
      <c r="B63" s="245" t="s">
        <v>139</v>
      </c>
      <c r="C63" s="245"/>
      <c r="D63" s="245"/>
      <c r="E63" s="245"/>
      <c r="F63" s="153"/>
      <c r="G63" s="153"/>
      <c r="H63" s="153"/>
      <c r="I63" s="153"/>
      <c r="J63" s="153"/>
      <c r="K63" s="153"/>
    </row>
    <row r="64" spans="1:11" ht="12.75">
      <c r="A64" s="153"/>
      <c r="B64" s="246" t="s">
        <v>141</v>
      </c>
      <c r="C64" s="246"/>
      <c r="D64" s="246"/>
      <c r="E64" s="246"/>
      <c r="F64" s="246"/>
      <c r="G64" s="246"/>
      <c r="H64" s="153"/>
      <c r="I64" s="153"/>
      <c r="J64" s="153"/>
      <c r="K64" s="153"/>
    </row>
    <row r="65" spans="1:11" ht="12.75">
      <c r="A65" s="153"/>
      <c r="B65" s="245" t="s">
        <v>140</v>
      </c>
      <c r="C65" s="245"/>
      <c r="D65" s="245"/>
      <c r="E65" s="245"/>
      <c r="F65" s="153"/>
      <c r="G65" s="153"/>
      <c r="H65" s="153"/>
      <c r="I65" s="153"/>
      <c r="J65" s="153"/>
      <c r="K65" s="153"/>
    </row>
    <row r="66" spans="1:11" ht="12.75">
      <c r="A66" s="153"/>
      <c r="B66" s="245" t="s">
        <v>142</v>
      </c>
      <c r="C66" s="245"/>
      <c r="D66" s="245"/>
      <c r="E66" s="245"/>
      <c r="F66" s="245"/>
      <c r="G66" s="245"/>
      <c r="H66" s="153"/>
      <c r="I66" s="153"/>
      <c r="J66" s="153"/>
      <c r="K66" s="153"/>
    </row>
    <row r="67" spans="1:11" ht="12.75">
      <c r="A67" s="153"/>
      <c r="B67" s="245" t="s">
        <v>143</v>
      </c>
      <c r="C67" s="245"/>
      <c r="D67" s="245"/>
      <c r="E67" s="245"/>
      <c r="F67" s="245"/>
      <c r="G67" s="245"/>
      <c r="H67" s="245"/>
      <c r="I67" s="245"/>
      <c r="J67" s="245"/>
      <c r="K67" s="245"/>
    </row>
    <row r="68" spans="1:11" ht="12.75">
      <c r="A68" s="153"/>
      <c r="B68" s="245"/>
      <c r="C68" s="245"/>
      <c r="D68" s="245"/>
      <c r="E68" s="245"/>
      <c r="F68" s="245"/>
      <c r="G68" s="245"/>
      <c r="H68" s="153"/>
      <c r="I68" s="153"/>
      <c r="J68" s="153"/>
      <c r="K68" s="153"/>
    </row>
    <row r="69" spans="1:11" ht="12.75">
      <c r="A69" s="153"/>
      <c r="B69" s="153"/>
      <c r="C69" s="153"/>
      <c r="D69" s="153"/>
      <c r="E69" s="153"/>
      <c r="F69" s="153"/>
      <c r="G69" s="153"/>
      <c r="H69" s="153"/>
      <c r="I69" s="153"/>
      <c r="J69" s="153"/>
      <c r="K69" s="153"/>
    </row>
    <row r="70" spans="1:11" ht="12.75">
      <c r="A70" s="153"/>
      <c r="B70" s="153"/>
      <c r="C70" s="153"/>
      <c r="D70" s="153"/>
      <c r="E70" s="153"/>
      <c r="F70" s="153"/>
      <c r="G70" s="153"/>
      <c r="H70" s="153"/>
      <c r="I70" s="153"/>
      <c r="J70" s="153"/>
      <c r="K70" s="153"/>
    </row>
    <row r="71" spans="1:11" ht="12.75">
      <c r="A71" s="153"/>
      <c r="B71" s="153"/>
      <c r="C71" s="153"/>
      <c r="D71" s="153"/>
      <c r="E71" s="153"/>
      <c r="F71" s="153"/>
      <c r="G71" s="153"/>
      <c r="H71" s="153"/>
      <c r="I71" s="153"/>
      <c r="J71" s="153"/>
      <c r="K71" s="153"/>
    </row>
    <row r="72" spans="1:11" ht="12.75">
      <c r="A72" s="153"/>
      <c r="B72" s="153"/>
      <c r="C72" s="153"/>
      <c r="D72" s="153"/>
      <c r="E72" s="153"/>
      <c r="F72" s="153"/>
      <c r="G72" s="153"/>
      <c r="H72" s="153"/>
      <c r="I72" s="153"/>
      <c r="J72" s="153"/>
      <c r="K72" s="153"/>
    </row>
    <row r="73" spans="1:11" ht="12.75">
      <c r="A73" s="153"/>
      <c r="B73" s="153"/>
      <c r="C73" s="153"/>
      <c r="D73" s="153"/>
      <c r="E73" s="153"/>
      <c r="F73" s="153"/>
      <c r="G73" s="153"/>
      <c r="H73" s="153"/>
      <c r="I73" s="153"/>
      <c r="J73" s="153"/>
      <c r="K73" s="153"/>
    </row>
    <row r="74" spans="1:11" ht="12.75">
      <c r="A74" s="153"/>
      <c r="B74" s="153"/>
      <c r="C74" s="153"/>
      <c r="D74" s="153"/>
      <c r="E74" s="153"/>
      <c r="F74" s="153"/>
      <c r="G74" s="153"/>
      <c r="H74" s="153"/>
      <c r="I74" s="153"/>
      <c r="J74" s="153"/>
      <c r="K74" s="153"/>
    </row>
    <row r="75" spans="1:11" ht="12.75">
      <c r="A75" s="153"/>
      <c r="B75" s="153"/>
      <c r="C75" s="153"/>
      <c r="D75" s="153"/>
      <c r="E75" s="153"/>
      <c r="F75" s="153"/>
      <c r="G75" s="153"/>
      <c r="H75" s="153"/>
      <c r="I75" s="153"/>
      <c r="J75" s="153"/>
      <c r="K75" s="153"/>
    </row>
  </sheetData>
  <sheetProtection/>
  <mergeCells count="58">
    <mergeCell ref="A1:C1"/>
    <mergeCell ref="A3:K3"/>
    <mergeCell ref="A4:K4"/>
    <mergeCell ref="A2:K2"/>
    <mergeCell ref="F1:K1"/>
    <mergeCell ref="D16:F16"/>
    <mergeCell ref="G15:I15"/>
    <mergeCell ref="G16:I16"/>
    <mergeCell ref="A5:K6"/>
    <mergeCell ref="A8:K8"/>
    <mergeCell ref="A9:K11"/>
    <mergeCell ref="G14:I14"/>
    <mergeCell ref="A33:K33"/>
    <mergeCell ref="A7:K7"/>
    <mergeCell ref="B57:K57"/>
    <mergeCell ref="A31:K31"/>
    <mergeCell ref="A39:K39"/>
    <mergeCell ref="A40:K40"/>
    <mergeCell ref="A41:K41"/>
    <mergeCell ref="A42:K42"/>
    <mergeCell ref="A26:K30"/>
    <mergeCell ref="B17:C17"/>
    <mergeCell ref="G17:I17"/>
    <mergeCell ref="A22:K25"/>
    <mergeCell ref="A32:K32"/>
    <mergeCell ref="D17:F17"/>
    <mergeCell ref="J17:K17"/>
    <mergeCell ref="A19:K21"/>
    <mergeCell ref="A34:K34"/>
    <mergeCell ref="A35:K35"/>
    <mergeCell ref="B46:K46"/>
    <mergeCell ref="A38:K38"/>
    <mergeCell ref="B43:K43"/>
    <mergeCell ref="B44:K44"/>
    <mergeCell ref="B45:K45"/>
    <mergeCell ref="A36:K36"/>
    <mergeCell ref="A37:K37"/>
    <mergeCell ref="B47:K47"/>
    <mergeCell ref="B48:K48"/>
    <mergeCell ref="A55:K55"/>
    <mergeCell ref="B49:K49"/>
    <mergeCell ref="B50:K50"/>
    <mergeCell ref="B51:K51"/>
    <mergeCell ref="B52:K52"/>
    <mergeCell ref="B53:K53"/>
    <mergeCell ref="B54:K54"/>
    <mergeCell ref="B56:K56"/>
    <mergeCell ref="B58:K58"/>
    <mergeCell ref="B59:K59"/>
    <mergeCell ref="B66:G66"/>
    <mergeCell ref="B65:E65"/>
    <mergeCell ref="B64:G64"/>
    <mergeCell ref="B68:G68"/>
    <mergeCell ref="B67:K67"/>
    <mergeCell ref="B60:K60"/>
    <mergeCell ref="B61:K61"/>
    <mergeCell ref="B62:K62"/>
    <mergeCell ref="B63:E63"/>
  </mergeCells>
  <printOptions/>
  <pageMargins left="0.75" right="0.75" top="1" bottom="1" header="0.5" footer="0.5"/>
  <pageSetup horizontalDpi="600" verticalDpi="600" orientation="portrait" paperSize="9" scale="83" r:id="rId1"/>
  <headerFooter alignWithMargins="0">
    <oddFooter>&amp;L&amp;F&amp;C&amp;A&amp;R&amp;D</oddFooter>
  </headerFooter>
  <rowBreaks count="1" manualBreakCount="1">
    <brk id="39"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C55"/>
  <sheetViews>
    <sheetView zoomScalePageLayoutView="0" workbookViewId="0" topLeftCell="A1">
      <selection activeCell="A1" sqref="A1:C1"/>
    </sheetView>
  </sheetViews>
  <sheetFormatPr defaultColWidth="9.140625" defaultRowHeight="12.75"/>
  <cols>
    <col min="1" max="1" width="23.140625" style="15" customWidth="1"/>
    <col min="2" max="2" width="35.28125" style="0" customWidth="1"/>
    <col min="3" max="3" width="32.140625" style="0" customWidth="1"/>
  </cols>
  <sheetData>
    <row r="1" spans="1:3" ht="30.75" customHeight="1">
      <c r="A1" s="421" t="s">
        <v>199</v>
      </c>
      <c r="B1" s="422"/>
      <c r="C1" s="422"/>
    </row>
    <row r="2" spans="1:3" ht="42.75" customHeight="1">
      <c r="A2" s="432" t="s">
        <v>246</v>
      </c>
      <c r="B2" s="433"/>
      <c r="C2" s="434"/>
    </row>
    <row r="3" spans="1:3" ht="12.75">
      <c r="A3" s="435" t="s">
        <v>221</v>
      </c>
      <c r="B3" s="436"/>
      <c r="C3" s="437"/>
    </row>
    <row r="5" spans="1:3" ht="12.75">
      <c r="A5" s="179" t="s">
        <v>148</v>
      </c>
      <c r="B5" s="180" t="s">
        <v>149</v>
      </c>
      <c r="C5" s="181" t="s">
        <v>150</v>
      </c>
    </row>
    <row r="6" spans="1:3" ht="12.75">
      <c r="A6" s="179"/>
      <c r="B6" s="208"/>
      <c r="C6" s="209"/>
    </row>
    <row r="7" spans="1:3" ht="25.5">
      <c r="A7" s="185" t="s">
        <v>200</v>
      </c>
      <c r="B7" s="186" t="s">
        <v>201</v>
      </c>
      <c r="C7" s="187" t="s">
        <v>202</v>
      </c>
    </row>
    <row r="8" spans="1:3" ht="25.5">
      <c r="A8" s="182"/>
      <c r="B8" s="186" t="s">
        <v>203</v>
      </c>
      <c r="C8" s="188" t="s">
        <v>204</v>
      </c>
    </row>
    <row r="9" spans="1:3" ht="12.75">
      <c r="A9" s="182"/>
      <c r="B9" s="186" t="s">
        <v>205</v>
      </c>
      <c r="C9" s="188" t="s">
        <v>206</v>
      </c>
    </row>
    <row r="10" spans="1:3" ht="12.75">
      <c r="A10" s="182"/>
      <c r="B10" s="186" t="s">
        <v>207</v>
      </c>
      <c r="C10" s="188" t="s">
        <v>208</v>
      </c>
    </row>
    <row r="11" spans="1:3" ht="25.5">
      <c r="A11" s="182"/>
      <c r="B11" s="186" t="s">
        <v>216</v>
      </c>
      <c r="C11" s="188" t="s">
        <v>151</v>
      </c>
    </row>
    <row r="12" spans="1:3" ht="12.75">
      <c r="A12" s="182"/>
      <c r="B12" s="189"/>
      <c r="C12" s="188" t="s">
        <v>209</v>
      </c>
    </row>
    <row r="13" spans="1:3" ht="12.75">
      <c r="A13" s="200"/>
      <c r="B13" s="201"/>
      <c r="C13" s="202" t="s">
        <v>210</v>
      </c>
    </row>
    <row r="14" spans="1:3" ht="12.75">
      <c r="A14" s="179"/>
      <c r="B14" s="198"/>
      <c r="C14" s="199"/>
    </row>
    <row r="15" spans="1:3" ht="27.75" customHeight="1">
      <c r="A15" s="185" t="s">
        <v>234</v>
      </c>
      <c r="B15" s="431" t="s">
        <v>235</v>
      </c>
      <c r="C15" s="187" t="s">
        <v>202</v>
      </c>
    </row>
    <row r="16" spans="1:3" ht="13.5" customHeight="1">
      <c r="A16" s="182"/>
      <c r="B16" s="431"/>
      <c r="C16" s="188" t="s">
        <v>211</v>
      </c>
    </row>
    <row r="17" spans="1:3" ht="25.5">
      <c r="A17" s="182"/>
      <c r="B17" s="186" t="s">
        <v>213</v>
      </c>
      <c r="C17" s="188" t="s">
        <v>206</v>
      </c>
    </row>
    <row r="18" spans="1:3" ht="12.75">
      <c r="A18" s="182"/>
      <c r="B18" s="186" t="s">
        <v>214</v>
      </c>
      <c r="C18" s="188" t="s">
        <v>208</v>
      </c>
    </row>
    <row r="19" spans="1:3" ht="12.75">
      <c r="A19" s="182"/>
      <c r="B19" s="186" t="s">
        <v>215</v>
      </c>
      <c r="C19" s="188" t="s">
        <v>151</v>
      </c>
    </row>
    <row r="20" spans="1:3" ht="12.75">
      <c r="A20" s="182"/>
      <c r="B20" s="186"/>
      <c r="C20" s="188" t="s">
        <v>209</v>
      </c>
    </row>
    <row r="21" spans="1:3" ht="12.75">
      <c r="A21" s="182"/>
      <c r="B21" s="186"/>
      <c r="C21" s="188" t="s">
        <v>210</v>
      </c>
    </row>
    <row r="22" spans="1:3" ht="12.75">
      <c r="A22" s="200"/>
      <c r="B22" s="201"/>
      <c r="C22" s="202" t="s">
        <v>212</v>
      </c>
    </row>
    <row r="23" spans="1:3" ht="12.75">
      <c r="A23" s="179"/>
      <c r="B23" s="198"/>
      <c r="C23" s="199"/>
    </row>
    <row r="24" spans="1:3" ht="12.75">
      <c r="A24" s="182" t="s">
        <v>217</v>
      </c>
      <c r="B24" s="186" t="s">
        <v>218</v>
      </c>
      <c r="C24" s="188" t="s">
        <v>220</v>
      </c>
    </row>
    <row r="25" spans="1:3" ht="12.75">
      <c r="A25" s="200"/>
      <c r="B25" s="201" t="s">
        <v>219</v>
      </c>
      <c r="C25" s="202"/>
    </row>
    <row r="26" spans="1:3" ht="12.75">
      <c r="A26" s="179"/>
      <c r="B26" s="198"/>
      <c r="C26" s="199"/>
    </row>
    <row r="27" spans="1:3" ht="12.75">
      <c r="A27" s="182" t="s">
        <v>239</v>
      </c>
      <c r="B27" s="429" t="s">
        <v>247</v>
      </c>
      <c r="C27" s="430"/>
    </row>
    <row r="28" spans="1:3" ht="12.75">
      <c r="A28" s="182"/>
      <c r="B28" s="429"/>
      <c r="C28" s="430"/>
    </row>
    <row r="29" spans="1:3" ht="12.75">
      <c r="A29" s="182"/>
      <c r="B29" s="429"/>
      <c r="C29" s="430"/>
    </row>
    <row r="30" spans="1:3" ht="12.75">
      <c r="A30" s="200"/>
      <c r="B30" s="427"/>
      <c r="C30" s="428"/>
    </row>
    <row r="31" spans="1:3" ht="12.75">
      <c r="A31" s="179"/>
      <c r="B31" s="203"/>
      <c r="C31" s="204"/>
    </row>
    <row r="32" spans="1:3" ht="18.75" customHeight="1">
      <c r="A32" s="205" t="s">
        <v>91</v>
      </c>
      <c r="B32" s="427" t="s">
        <v>222</v>
      </c>
      <c r="C32" s="428"/>
    </row>
    <row r="33" spans="1:3" ht="12.75">
      <c r="A33" s="179"/>
      <c r="B33" s="206"/>
      <c r="C33" s="207"/>
    </row>
    <row r="34" spans="1:3" ht="25.5">
      <c r="A34" s="185" t="s">
        <v>223</v>
      </c>
      <c r="B34" s="190" t="s">
        <v>248</v>
      </c>
      <c r="C34" s="191" t="s">
        <v>224</v>
      </c>
    </row>
    <row r="35" spans="1:3" ht="102">
      <c r="A35" s="194"/>
      <c r="B35" s="190" t="s">
        <v>249</v>
      </c>
      <c r="C35" s="191"/>
    </row>
    <row r="36" spans="1:3" ht="38.25">
      <c r="A36" s="195"/>
      <c r="B36" s="196" t="s">
        <v>225</v>
      </c>
      <c r="C36" s="197"/>
    </row>
    <row r="37" spans="1:3" ht="12.75">
      <c r="A37" s="155"/>
      <c r="B37" s="153"/>
      <c r="C37" s="153"/>
    </row>
    <row r="38" spans="1:3" ht="12.75">
      <c r="A38" s="155"/>
      <c r="B38" s="153"/>
      <c r="C38" s="153"/>
    </row>
    <row r="39" spans="1:3" ht="12.75">
      <c r="A39" s="155"/>
      <c r="B39" s="153"/>
      <c r="C39" s="153"/>
    </row>
    <row r="40" spans="1:3" ht="12.75">
      <c r="A40" s="155"/>
      <c r="B40" s="153"/>
      <c r="C40" s="153"/>
    </row>
    <row r="41" spans="1:3" ht="12.75">
      <c r="A41" s="155"/>
      <c r="B41" s="153"/>
      <c r="C41" s="153"/>
    </row>
    <row r="42" spans="1:3" ht="12.75">
      <c r="A42" s="155"/>
      <c r="B42" s="153"/>
      <c r="C42" s="153"/>
    </row>
    <row r="43" spans="1:3" ht="12.75">
      <c r="A43" s="155"/>
      <c r="B43" s="153"/>
      <c r="C43" s="153"/>
    </row>
    <row r="44" spans="1:3" ht="12.75">
      <c r="A44" s="155"/>
      <c r="B44" s="153"/>
      <c r="C44" s="153"/>
    </row>
    <row r="45" spans="1:3" ht="12.75">
      <c r="A45" s="155"/>
      <c r="B45" s="153"/>
      <c r="C45" s="153"/>
    </row>
    <row r="46" spans="1:3" ht="12.75">
      <c r="A46" s="155"/>
      <c r="B46" s="153"/>
      <c r="C46" s="153"/>
    </row>
    <row r="47" spans="1:3" ht="12.75">
      <c r="A47" s="155"/>
      <c r="B47" s="153"/>
      <c r="C47" s="153"/>
    </row>
    <row r="48" spans="1:3" ht="12.75">
      <c r="A48" s="155"/>
      <c r="B48" s="153"/>
      <c r="C48" s="153"/>
    </row>
    <row r="49" spans="1:3" ht="12.75">
      <c r="A49" s="155"/>
      <c r="B49" s="153"/>
      <c r="C49" s="153"/>
    </row>
    <row r="50" spans="1:3" ht="12.75">
      <c r="A50" s="155"/>
      <c r="B50" s="153"/>
      <c r="C50" s="153"/>
    </row>
    <row r="51" spans="1:3" ht="12.75">
      <c r="A51" s="155"/>
      <c r="B51" s="153"/>
      <c r="C51" s="153"/>
    </row>
    <row r="52" spans="1:3" ht="12.75">
      <c r="A52" s="155"/>
      <c r="B52" s="153"/>
      <c r="C52" s="153"/>
    </row>
    <row r="53" spans="1:3" ht="12.75">
      <c r="A53" s="155"/>
      <c r="B53" s="153"/>
      <c r="C53" s="153"/>
    </row>
    <row r="54" spans="1:3" ht="12.75">
      <c r="A54" s="155"/>
      <c r="B54" s="153"/>
      <c r="C54" s="153"/>
    </row>
    <row r="55" spans="1:3" ht="12.75">
      <c r="A55" s="155"/>
      <c r="B55" s="153"/>
      <c r="C55" s="153"/>
    </row>
  </sheetData>
  <sheetProtection/>
  <mergeCells count="6">
    <mergeCell ref="B32:C32"/>
    <mergeCell ref="B27:C30"/>
    <mergeCell ref="B15:B16"/>
    <mergeCell ref="A1:C1"/>
    <mergeCell ref="A2:C2"/>
    <mergeCell ref="A3:C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66"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dimension ref="A1:R36"/>
  <sheetViews>
    <sheetView zoomScalePageLayoutView="0" workbookViewId="0" topLeftCell="A1">
      <selection activeCell="B32" sqref="B32"/>
    </sheetView>
  </sheetViews>
  <sheetFormatPr defaultColWidth="6.8515625" defaultRowHeight="15" customHeight="1"/>
  <cols>
    <col min="1" max="1" width="19.8515625" style="15" customWidth="1"/>
    <col min="2" max="2" width="15.140625" style="50" customWidth="1"/>
    <col min="3" max="3" width="8.8515625" style="49" customWidth="1"/>
    <col min="4" max="4" width="12.140625" style="49" customWidth="1"/>
    <col min="5" max="5" width="23.28125" style="49" customWidth="1"/>
    <col min="6" max="6" width="4.7109375" style="0" customWidth="1"/>
    <col min="7" max="7" width="10.57421875" style="49" customWidth="1"/>
    <col min="8" max="8" width="14.8515625" style="5" customWidth="1"/>
    <col min="9" max="9" width="16.7109375" style="48" customWidth="1"/>
    <col min="10" max="10" width="7.421875" style="49" customWidth="1"/>
    <col min="11" max="11" width="7.421875" style="50" customWidth="1"/>
    <col min="12" max="12" width="7.421875" style="48" customWidth="1"/>
    <col min="13" max="13" width="7.421875" style="5" customWidth="1"/>
    <col min="14" max="14" width="7.421875" style="49" customWidth="1"/>
    <col min="15" max="15" width="8.28125" style="50" customWidth="1"/>
    <col min="16" max="16" width="8.28125" style="49" customWidth="1"/>
    <col min="17" max="17" width="7.421875" style="50" customWidth="1"/>
    <col min="18" max="18" width="7.421875" style="49" customWidth="1"/>
    <col min="19" max="16384" width="6.8515625" style="5" customWidth="1"/>
  </cols>
  <sheetData>
    <row r="1" spans="1:9" ht="21.75" customHeight="1">
      <c r="A1" s="281" t="s">
        <v>260</v>
      </c>
      <c r="B1" s="282"/>
      <c r="C1" s="282"/>
      <c r="D1" s="282"/>
      <c r="E1" s="282"/>
      <c r="F1" s="282"/>
      <c r="G1" s="282"/>
      <c r="H1" s="282"/>
      <c r="I1" s="283"/>
    </row>
    <row r="2" spans="1:9" ht="21.75" customHeight="1">
      <c r="A2" s="284" t="s">
        <v>101</v>
      </c>
      <c r="B2" s="285"/>
      <c r="C2" s="285"/>
      <c r="D2" s="285"/>
      <c r="E2" s="285"/>
      <c r="F2" s="285"/>
      <c r="G2" s="285"/>
      <c r="H2" s="285"/>
      <c r="I2" s="286"/>
    </row>
    <row r="3" spans="1:18" s="48" customFormat="1" ht="15" customHeight="1">
      <c r="A3" s="256" t="s">
        <v>45</v>
      </c>
      <c r="B3" s="257"/>
      <c r="C3" s="257"/>
      <c r="D3" s="257"/>
      <c r="E3" s="258"/>
      <c r="G3" s="296" t="s">
        <v>10</v>
      </c>
      <c r="H3" s="297"/>
      <c r="I3" s="298"/>
      <c r="J3" s="67"/>
      <c r="K3" s="68"/>
      <c r="L3" s="69"/>
      <c r="N3" s="49"/>
      <c r="O3" s="50"/>
      <c r="P3" s="49"/>
      <c r="Q3" s="50"/>
      <c r="R3" s="49"/>
    </row>
    <row r="4" spans="1:18" s="48" customFormat="1" ht="45" customHeight="1">
      <c r="A4" s="56" t="s">
        <v>0</v>
      </c>
      <c r="B4" s="227" t="s">
        <v>261</v>
      </c>
      <c r="C4" s="42"/>
      <c r="D4" s="261" t="s">
        <v>257</v>
      </c>
      <c r="E4" s="262"/>
      <c r="G4" s="299" t="s">
        <v>11</v>
      </c>
      <c r="H4" s="300"/>
      <c r="I4" s="58" t="s">
        <v>12</v>
      </c>
      <c r="J4" s="70"/>
      <c r="K4" s="71"/>
      <c r="L4" s="69"/>
      <c r="N4" s="49"/>
      <c r="O4" s="50"/>
      <c r="P4" s="49"/>
      <c r="Q4" s="50"/>
      <c r="R4" s="49"/>
    </row>
    <row r="5" spans="1:18" s="48" customFormat="1" ht="15" customHeight="1">
      <c r="A5" s="57" t="s">
        <v>1</v>
      </c>
      <c r="B5" s="43">
        <v>25</v>
      </c>
      <c r="C5" s="44" t="s">
        <v>4</v>
      </c>
      <c r="D5" s="263"/>
      <c r="E5" s="264"/>
      <c r="G5" s="287"/>
      <c r="H5" s="288"/>
      <c r="I5" s="59" t="s">
        <v>13</v>
      </c>
      <c r="J5" s="70"/>
      <c r="K5" s="71"/>
      <c r="L5" s="69"/>
      <c r="N5" s="49"/>
      <c r="O5" s="50"/>
      <c r="P5" s="49"/>
      <c r="Q5" s="50"/>
      <c r="R5" s="49"/>
    </row>
    <row r="6" spans="1:18" s="48" customFormat="1" ht="15" customHeight="1">
      <c r="A6" s="57" t="s">
        <v>2</v>
      </c>
      <c r="B6" s="43">
        <v>45</v>
      </c>
      <c r="C6" s="44"/>
      <c r="D6" s="263"/>
      <c r="E6" s="264"/>
      <c r="G6" s="301" t="s">
        <v>239</v>
      </c>
      <c r="H6" s="302"/>
      <c r="I6" s="58" t="s">
        <v>12</v>
      </c>
      <c r="J6" s="70"/>
      <c r="K6" s="71"/>
      <c r="L6" s="69"/>
      <c r="N6" s="49"/>
      <c r="O6" s="50"/>
      <c r="P6" s="49"/>
      <c r="Q6" s="50"/>
      <c r="R6" s="49"/>
    </row>
    <row r="7" spans="1:18" s="48" customFormat="1" ht="15" customHeight="1">
      <c r="A7" s="57" t="s">
        <v>3</v>
      </c>
      <c r="B7" s="45">
        <f>B5*B6</f>
        <v>1125</v>
      </c>
      <c r="C7" s="44" t="s">
        <v>4</v>
      </c>
      <c r="D7" s="263"/>
      <c r="E7" s="264"/>
      <c r="G7" s="294"/>
      <c r="H7" s="295"/>
      <c r="I7" s="59" t="s">
        <v>13</v>
      </c>
      <c r="J7" s="70"/>
      <c r="K7" s="71"/>
      <c r="L7" s="69"/>
      <c r="N7" s="49"/>
      <c r="O7" s="50"/>
      <c r="P7" s="49"/>
      <c r="Q7" s="50"/>
      <c r="R7" s="49"/>
    </row>
    <row r="8" spans="1:18" s="48" customFormat="1" ht="15" customHeight="1">
      <c r="A8" s="57" t="s">
        <v>6</v>
      </c>
      <c r="B8" s="43">
        <v>2000</v>
      </c>
      <c r="C8" s="44" t="s">
        <v>5</v>
      </c>
      <c r="D8" s="263"/>
      <c r="E8" s="264"/>
      <c r="G8" s="292" t="s">
        <v>41</v>
      </c>
      <c r="H8" s="293"/>
      <c r="I8" s="60" t="s">
        <v>99</v>
      </c>
      <c r="J8" s="70"/>
      <c r="K8" s="71"/>
      <c r="L8" s="69"/>
      <c r="N8" s="49"/>
      <c r="O8" s="50"/>
      <c r="P8" s="49"/>
      <c r="Q8" s="50"/>
      <c r="R8" s="49"/>
    </row>
    <row r="9" spans="1:18" s="48" customFormat="1" ht="15" customHeight="1">
      <c r="A9" s="267" t="s">
        <v>43</v>
      </c>
      <c r="B9" s="228"/>
      <c r="C9" s="229"/>
      <c r="D9" s="263"/>
      <c r="E9" s="264"/>
      <c r="G9" s="290" t="s">
        <v>17</v>
      </c>
      <c r="H9" s="291"/>
      <c r="I9" s="60" t="s">
        <v>259</v>
      </c>
      <c r="J9" s="70"/>
      <c r="K9" s="71"/>
      <c r="L9" s="69"/>
      <c r="N9" s="49"/>
      <c r="O9" s="50"/>
      <c r="P9" s="49"/>
      <c r="Q9" s="50"/>
      <c r="R9" s="49"/>
    </row>
    <row r="10" spans="1:18" s="51" customFormat="1" ht="15" customHeight="1">
      <c r="A10" s="267"/>
      <c r="B10" s="230">
        <f>0.135*B7</f>
        <v>151.875</v>
      </c>
      <c r="C10" s="229" t="s">
        <v>4</v>
      </c>
      <c r="D10" s="263"/>
      <c r="E10" s="264"/>
      <c r="G10" s="290" t="s">
        <v>19</v>
      </c>
      <c r="H10" s="291"/>
      <c r="I10" s="66" t="s">
        <v>14</v>
      </c>
      <c r="J10" s="70"/>
      <c r="K10" s="71"/>
      <c r="L10" s="61"/>
      <c r="N10" s="52"/>
      <c r="O10" s="53"/>
      <c r="P10" s="52"/>
      <c r="Q10" s="53"/>
      <c r="R10" s="52"/>
    </row>
    <row r="11" spans="1:18" s="51" customFormat="1" ht="15" customHeight="1">
      <c r="A11" s="259" t="s">
        <v>100</v>
      </c>
      <c r="B11" s="76"/>
      <c r="C11" s="44"/>
      <c r="D11" s="263"/>
      <c r="E11" s="264"/>
      <c r="G11" s="149"/>
      <c r="H11" s="149"/>
      <c r="I11" s="150"/>
      <c r="J11" s="71"/>
      <c r="K11" s="71"/>
      <c r="L11" s="61"/>
      <c r="N11" s="52"/>
      <c r="O11" s="53"/>
      <c r="P11" s="52"/>
      <c r="Q11" s="53"/>
      <c r="R11" s="52"/>
    </row>
    <row r="12" spans="1:18" s="51" customFormat="1" ht="15" customHeight="1">
      <c r="A12" s="260"/>
      <c r="B12" s="147">
        <v>80</v>
      </c>
      <c r="C12" s="46"/>
      <c r="D12" s="265"/>
      <c r="E12" s="266"/>
      <c r="G12" s="151"/>
      <c r="H12" s="151"/>
      <c r="I12" s="61"/>
      <c r="J12" s="71"/>
      <c r="K12" s="71"/>
      <c r="L12" s="61"/>
      <c r="N12" s="52"/>
      <c r="O12" s="53"/>
      <c r="P12" s="52"/>
      <c r="Q12" s="53"/>
      <c r="R12" s="52"/>
    </row>
    <row r="13" spans="1:18" s="51" customFormat="1" ht="15" customHeight="1">
      <c r="A13" s="55"/>
      <c r="B13" s="76"/>
      <c r="C13" s="47"/>
      <c r="D13" s="47"/>
      <c r="E13" s="9"/>
      <c r="G13" s="289"/>
      <c r="H13" s="289"/>
      <c r="I13" s="148"/>
      <c r="J13" s="71"/>
      <c r="K13" s="71"/>
      <c r="L13" s="61"/>
      <c r="N13" s="52"/>
      <c r="O13" s="53"/>
      <c r="P13" s="52"/>
      <c r="Q13" s="53"/>
      <c r="R13" s="52"/>
    </row>
    <row r="14" spans="1:18" s="48" customFormat="1" ht="15" customHeight="1">
      <c r="A14" s="271" t="s">
        <v>46</v>
      </c>
      <c r="B14" s="272"/>
      <c r="C14" s="272"/>
      <c r="D14" s="272"/>
      <c r="E14" s="273"/>
      <c r="G14" s="309" t="s">
        <v>21</v>
      </c>
      <c r="H14" s="310"/>
      <c r="I14" s="311"/>
      <c r="J14" s="72"/>
      <c r="K14" s="61"/>
      <c r="L14" s="69"/>
      <c r="N14" s="49"/>
      <c r="O14" s="50"/>
      <c r="P14" s="49"/>
      <c r="Q14" s="50"/>
      <c r="R14" s="49"/>
    </row>
    <row r="15" spans="1:18" s="48" customFormat="1" ht="15" customHeight="1">
      <c r="A15" s="303" t="s">
        <v>51</v>
      </c>
      <c r="B15" s="305" t="s">
        <v>50</v>
      </c>
      <c r="C15" s="305"/>
      <c r="D15" s="306"/>
      <c r="E15" s="268" t="s">
        <v>98</v>
      </c>
      <c r="G15" s="312" t="s">
        <v>23</v>
      </c>
      <c r="H15" s="313"/>
      <c r="I15" s="314"/>
      <c r="J15" s="72"/>
      <c r="K15" s="61"/>
      <c r="L15" s="69"/>
      <c r="N15" s="49"/>
      <c r="O15" s="50"/>
      <c r="P15" s="49"/>
      <c r="Q15" s="50"/>
      <c r="R15" s="49"/>
    </row>
    <row r="16" spans="1:18" s="48" customFormat="1" ht="15" customHeight="1">
      <c r="A16" s="274"/>
      <c r="B16" s="91"/>
      <c r="C16" s="81">
        <f>B20-B17</f>
        <v>98</v>
      </c>
      <c r="D16" s="83" t="s">
        <v>48</v>
      </c>
      <c r="E16" s="269"/>
      <c r="G16" s="315" t="s">
        <v>22</v>
      </c>
      <c r="H16" s="316"/>
      <c r="I16" s="317"/>
      <c r="J16" s="72"/>
      <c r="K16" s="61"/>
      <c r="L16" s="69"/>
      <c r="N16" s="49"/>
      <c r="O16" s="50"/>
      <c r="P16" s="49"/>
      <c r="Q16" s="50"/>
      <c r="R16" s="49"/>
    </row>
    <row r="17" spans="1:18" s="48" customFormat="1" ht="15" customHeight="1">
      <c r="A17" s="274"/>
      <c r="B17" s="156">
        <f>B29-364</f>
        <v>40909</v>
      </c>
      <c r="C17" s="92">
        <f>C16/7</f>
        <v>14</v>
      </c>
      <c r="D17" s="84" t="s">
        <v>49</v>
      </c>
      <c r="E17" s="269"/>
      <c r="G17" s="318" t="s">
        <v>24</v>
      </c>
      <c r="H17" s="319"/>
      <c r="I17" s="320"/>
      <c r="J17" s="72"/>
      <c r="K17" s="61"/>
      <c r="L17" s="69"/>
      <c r="N17" s="49"/>
      <c r="O17" s="50"/>
      <c r="P17" s="49"/>
      <c r="Q17" s="50"/>
      <c r="R17" s="49"/>
    </row>
    <row r="18" spans="1:18" s="48" customFormat="1" ht="15" customHeight="1">
      <c r="A18" s="90"/>
      <c r="B18" s="101" t="s">
        <v>102</v>
      </c>
      <c r="C18" s="96"/>
      <c r="D18" s="97"/>
      <c r="E18" s="269"/>
      <c r="G18" s="152"/>
      <c r="H18" s="152"/>
      <c r="I18" s="152"/>
      <c r="J18" s="61"/>
      <c r="K18" s="61"/>
      <c r="L18" s="69"/>
      <c r="N18" s="49"/>
      <c r="O18" s="50"/>
      <c r="P18" s="49"/>
      <c r="Q18" s="50"/>
      <c r="R18" s="49"/>
    </row>
    <row r="19" spans="1:18" s="48" customFormat="1" ht="15" customHeight="1">
      <c r="A19" s="304" t="s">
        <v>42</v>
      </c>
      <c r="B19" s="93"/>
      <c r="C19" s="94">
        <f>B23-B20</f>
        <v>84</v>
      </c>
      <c r="D19" s="95" t="s">
        <v>48</v>
      </c>
      <c r="E19" s="269"/>
      <c r="G19" s="69"/>
      <c r="H19" s="69"/>
      <c r="I19" s="69"/>
      <c r="J19" s="54"/>
      <c r="K19" s="54"/>
      <c r="L19" s="69"/>
      <c r="N19" s="49"/>
      <c r="O19" s="50"/>
      <c r="P19" s="49"/>
      <c r="Q19" s="50"/>
      <c r="R19" s="49"/>
    </row>
    <row r="20" spans="1:12" s="13" customFormat="1" ht="15" customHeight="1">
      <c r="A20" s="304"/>
      <c r="B20" s="223">
        <f>B23-(7*C20)</f>
        <v>41007</v>
      </c>
      <c r="C20" s="224">
        <v>12</v>
      </c>
      <c r="D20" s="225" t="s">
        <v>49</v>
      </c>
      <c r="E20" s="269"/>
      <c r="I20" s="54"/>
      <c r="J20" s="73"/>
      <c r="K20" s="73"/>
      <c r="L20" s="54"/>
    </row>
    <row r="21" spans="1:12" s="13" customFormat="1" ht="15" customHeight="1">
      <c r="A21" s="79"/>
      <c r="B21" s="307" t="s">
        <v>52</v>
      </c>
      <c r="C21" s="307"/>
      <c r="D21" s="308"/>
      <c r="E21" s="269"/>
      <c r="I21" s="54"/>
      <c r="J21" s="73"/>
      <c r="K21" s="73"/>
      <c r="L21" s="54"/>
    </row>
    <row r="22" spans="1:18" s="48" customFormat="1" ht="15" customHeight="1">
      <c r="A22" s="274" t="s">
        <v>40</v>
      </c>
      <c r="B22" s="99"/>
      <c r="C22" s="81"/>
      <c r="D22" s="82"/>
      <c r="E22" s="269"/>
      <c r="I22" s="69"/>
      <c r="J22" s="63"/>
      <c r="K22" s="63"/>
      <c r="L22" s="69"/>
      <c r="N22" s="49"/>
      <c r="O22" s="50"/>
      <c r="P22" s="49"/>
      <c r="Q22" s="50"/>
      <c r="R22" s="49"/>
    </row>
    <row r="23" spans="1:18" s="48" customFormat="1" ht="15" customHeight="1">
      <c r="A23" s="274"/>
      <c r="B23" s="62">
        <v>41091</v>
      </c>
      <c r="C23" s="81"/>
      <c r="D23" s="82"/>
      <c r="E23" s="269"/>
      <c r="I23" s="69"/>
      <c r="J23" s="64"/>
      <c r="K23" s="64"/>
      <c r="L23" s="69"/>
      <c r="N23" s="49"/>
      <c r="O23" s="50"/>
      <c r="P23" s="49"/>
      <c r="Q23" s="50"/>
      <c r="R23" s="49"/>
    </row>
    <row r="24" spans="1:18" s="48" customFormat="1" ht="15" customHeight="1">
      <c r="A24" s="80"/>
      <c r="B24" s="98"/>
      <c r="C24" s="81"/>
      <c r="D24" s="82"/>
      <c r="E24" s="269"/>
      <c r="I24" s="69"/>
      <c r="J24" s="64"/>
      <c r="K24" s="64"/>
      <c r="L24" s="69"/>
      <c r="N24" s="49"/>
      <c r="O24" s="50"/>
      <c r="P24" s="49"/>
      <c r="Q24" s="50"/>
      <c r="R24" s="49"/>
    </row>
    <row r="25" spans="1:12" s="65" customFormat="1" ht="15" customHeight="1">
      <c r="A25" s="274" t="s">
        <v>44</v>
      </c>
      <c r="B25" s="100"/>
      <c r="C25" s="81">
        <f>C26*7</f>
        <v>91</v>
      </c>
      <c r="D25" s="83" t="s">
        <v>48</v>
      </c>
      <c r="E25" s="269"/>
      <c r="I25" s="74"/>
      <c r="J25" s="73"/>
      <c r="K25" s="73"/>
      <c r="L25" s="74"/>
    </row>
    <row r="26" spans="1:18" s="48" customFormat="1" ht="15" customHeight="1">
      <c r="A26" s="274"/>
      <c r="B26" s="226">
        <f>B23+(7*C26)</f>
        <v>41182</v>
      </c>
      <c r="C26" s="224">
        <v>13</v>
      </c>
      <c r="D26" s="225" t="s">
        <v>49</v>
      </c>
      <c r="E26" s="269"/>
      <c r="I26" s="69"/>
      <c r="N26" s="49"/>
      <c r="O26" s="50"/>
      <c r="P26" s="49"/>
      <c r="Q26" s="50"/>
      <c r="R26" s="49"/>
    </row>
    <row r="27" spans="1:18" s="48" customFormat="1" ht="15" customHeight="1">
      <c r="A27" s="90"/>
      <c r="B27" s="279" t="s">
        <v>53</v>
      </c>
      <c r="C27" s="279"/>
      <c r="D27" s="280"/>
      <c r="E27" s="269"/>
      <c r="N27" s="49"/>
      <c r="O27" s="50"/>
      <c r="P27" s="49"/>
      <c r="Q27" s="50"/>
      <c r="R27" s="49"/>
    </row>
    <row r="28" spans="1:11" ht="15" customHeight="1">
      <c r="A28" s="277" t="s">
        <v>47</v>
      </c>
      <c r="B28" s="93"/>
      <c r="C28" s="94">
        <f>B29-B26</f>
        <v>91</v>
      </c>
      <c r="D28" s="95" t="s">
        <v>48</v>
      </c>
      <c r="E28" s="269"/>
      <c r="F28" s="5"/>
      <c r="H28" s="49"/>
      <c r="I28" s="49"/>
      <c r="K28" s="49"/>
    </row>
    <row r="29" spans="1:11" ht="15" customHeight="1">
      <c r="A29" s="278"/>
      <c r="B29" s="85">
        <f>B26+91</f>
        <v>41273</v>
      </c>
      <c r="C29" s="86">
        <f>C28/7</f>
        <v>13</v>
      </c>
      <c r="D29" s="78" t="s">
        <v>49</v>
      </c>
      <c r="E29" s="269"/>
      <c r="F29" s="5"/>
      <c r="G29" s="5"/>
      <c r="I29" s="5"/>
      <c r="J29" s="5"/>
      <c r="K29" s="5"/>
    </row>
    <row r="30" spans="1:11" ht="15" customHeight="1">
      <c r="A30" s="275" t="s">
        <v>96</v>
      </c>
      <c r="B30" s="276"/>
      <c r="C30" s="75">
        <f>+C16+C19+C25+C28</f>
        <v>364</v>
      </c>
      <c r="D30" s="77" t="s">
        <v>48</v>
      </c>
      <c r="E30" s="270"/>
      <c r="F30" s="5"/>
      <c r="G30" s="5"/>
      <c r="I30" s="5"/>
      <c r="J30" s="5"/>
      <c r="K30" s="5"/>
    </row>
    <row r="31" spans="1:11" ht="15" customHeight="1">
      <c r="A31" s="5"/>
      <c r="B31" s="5"/>
      <c r="C31" s="5"/>
      <c r="D31" s="5"/>
      <c r="E31" s="5"/>
      <c r="F31" s="5"/>
      <c r="G31" s="5"/>
      <c r="I31" s="5"/>
      <c r="J31" s="5"/>
      <c r="K31" s="5"/>
    </row>
    <row r="34" spans="1:11" ht="15" customHeight="1">
      <c r="A34" s="9"/>
      <c r="B34" s="9"/>
      <c r="C34" s="9"/>
      <c r="D34" s="9"/>
      <c r="E34" s="9"/>
      <c r="F34" s="5"/>
      <c r="G34" s="9"/>
      <c r="H34" s="9"/>
      <c r="I34" s="9"/>
      <c r="J34" s="9"/>
      <c r="K34" s="9"/>
    </row>
    <row r="35" spans="1:11" ht="15" customHeight="1">
      <c r="A35" s="9"/>
      <c r="B35" s="9"/>
      <c r="C35" s="9"/>
      <c r="D35" s="9"/>
      <c r="E35" s="9"/>
      <c r="F35" s="5"/>
      <c r="G35" s="9"/>
      <c r="H35" s="9"/>
      <c r="I35" s="9"/>
      <c r="J35" s="9"/>
      <c r="K35" s="9"/>
    </row>
    <row r="36" spans="1:11" ht="15" customHeight="1">
      <c r="A36" s="9"/>
      <c r="B36" s="9"/>
      <c r="C36" s="9"/>
      <c r="D36" s="9"/>
      <c r="E36" s="9"/>
      <c r="F36" s="5"/>
      <c r="G36" s="9"/>
      <c r="H36" s="9"/>
      <c r="I36" s="9"/>
      <c r="J36" s="9"/>
      <c r="K36" s="9"/>
    </row>
  </sheetData>
  <sheetProtection/>
  <mergeCells count="30">
    <mergeCell ref="G6:H6"/>
    <mergeCell ref="A15:A17"/>
    <mergeCell ref="A19:A20"/>
    <mergeCell ref="A25:A26"/>
    <mergeCell ref="B15:D15"/>
    <mergeCell ref="B21:D21"/>
    <mergeCell ref="G14:I14"/>
    <mergeCell ref="G15:I15"/>
    <mergeCell ref="G16:I16"/>
    <mergeCell ref="G17:I17"/>
    <mergeCell ref="A1:I1"/>
    <mergeCell ref="A2:I2"/>
    <mergeCell ref="G5:H5"/>
    <mergeCell ref="G13:H13"/>
    <mergeCell ref="G10:H10"/>
    <mergeCell ref="G8:H8"/>
    <mergeCell ref="G9:H9"/>
    <mergeCell ref="G7:H7"/>
    <mergeCell ref="G3:I3"/>
    <mergeCell ref="G4:H4"/>
    <mergeCell ref="A3:E3"/>
    <mergeCell ref="A11:A12"/>
    <mergeCell ref="D4:E12"/>
    <mergeCell ref="A9:A10"/>
    <mergeCell ref="E15:E30"/>
    <mergeCell ref="A14:E14"/>
    <mergeCell ref="A22:A23"/>
    <mergeCell ref="A30:B30"/>
    <mergeCell ref="A28:A29"/>
    <mergeCell ref="B27:D27"/>
  </mergeCells>
  <printOptions/>
  <pageMargins left="0.75" right="0.75" top="1" bottom="1" header="0.5" footer="0.5"/>
  <pageSetup horizontalDpi="600" verticalDpi="600" orientation="landscape" paperSize="9" scale="91"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R18"/>
  <sheetViews>
    <sheetView zoomScalePageLayoutView="0" workbookViewId="0" topLeftCell="A3">
      <selection activeCell="H18" sqref="H18"/>
    </sheetView>
  </sheetViews>
  <sheetFormatPr defaultColWidth="9.140625" defaultRowHeight="12.75"/>
  <cols>
    <col min="1" max="1" width="19.28125" style="15" customWidth="1"/>
    <col min="2" max="3" width="11.28125" style="15" hidden="1" customWidth="1"/>
    <col min="4" max="15" width="7.7109375" style="0" customWidth="1"/>
    <col min="16" max="18" width="10.7109375" style="0" customWidth="1"/>
  </cols>
  <sheetData>
    <row r="1" spans="1:18" ht="18">
      <c r="A1" s="322" t="s">
        <v>27</v>
      </c>
      <c r="B1" s="322"/>
      <c r="C1" s="322"/>
      <c r="D1" s="322"/>
      <c r="E1" s="322"/>
      <c r="F1" s="322"/>
      <c r="G1" s="322"/>
      <c r="H1" s="322"/>
      <c r="I1" s="322"/>
      <c r="J1" s="322"/>
      <c r="K1" s="322"/>
      <c r="L1" s="322"/>
      <c r="M1" s="322"/>
      <c r="N1" s="322"/>
      <c r="O1" s="322"/>
      <c r="P1" s="1"/>
      <c r="Q1" s="1"/>
      <c r="R1" s="1"/>
    </row>
    <row r="3" spans="2:15" s="12" customFormat="1" ht="25.5" customHeight="1">
      <c r="B3" s="12" t="s">
        <v>93</v>
      </c>
      <c r="C3" s="12" t="s">
        <v>94</v>
      </c>
      <c r="D3" s="325" t="s">
        <v>105</v>
      </c>
      <c r="E3" s="326"/>
      <c r="F3" s="323" t="s">
        <v>8</v>
      </c>
      <c r="G3" s="324"/>
      <c r="H3" s="325" t="s">
        <v>239</v>
      </c>
      <c r="I3" s="326"/>
      <c r="J3" s="323" t="s">
        <v>17</v>
      </c>
      <c r="K3" s="324"/>
      <c r="L3" s="325" t="s">
        <v>28</v>
      </c>
      <c r="M3" s="326"/>
      <c r="N3" s="323" t="s">
        <v>252</v>
      </c>
      <c r="O3" s="324"/>
    </row>
    <row r="4" spans="1:15" s="11" customFormat="1" ht="33" customHeight="1">
      <c r="A4" s="14" t="s">
        <v>50</v>
      </c>
      <c r="B4" s="145">
        <f>'Base data'!B17</f>
        <v>40909</v>
      </c>
      <c r="C4" s="145">
        <f>'Base data'!B20-1</f>
        <v>41006</v>
      </c>
      <c r="D4" s="22">
        <f>'First maintenance'!C23</f>
        <v>1860.46875</v>
      </c>
      <c r="E4" s="23" t="s">
        <v>4</v>
      </c>
      <c r="F4" s="26">
        <f>'First maintenance'!E23</f>
        <v>223.25597093003634</v>
      </c>
      <c r="G4" s="27" t="s">
        <v>4</v>
      </c>
      <c r="H4" s="22">
        <f>'First maintenance'!G23</f>
        <v>14.245874999999998</v>
      </c>
      <c r="I4" s="23" t="s">
        <v>5</v>
      </c>
      <c r="J4" s="26">
        <f>'First maintenance'!I23</f>
        <v>0</v>
      </c>
      <c r="K4" s="27" t="s">
        <v>4</v>
      </c>
      <c r="L4" s="22">
        <f>'First maintenance'!K23</f>
        <v>14.245874999999998</v>
      </c>
      <c r="M4" s="23" t="s">
        <v>5</v>
      </c>
      <c r="N4" s="26">
        <f>'First maintenance'!M23</f>
        <v>98</v>
      </c>
      <c r="O4" s="27" t="s">
        <v>5</v>
      </c>
    </row>
    <row r="5" spans="1:15" s="11" customFormat="1" ht="33" customHeight="1">
      <c r="A5" s="14" t="s">
        <v>95</v>
      </c>
      <c r="B5" s="145">
        <f>'Base data'!B20</f>
        <v>41007</v>
      </c>
      <c r="C5" s="145">
        <f>'Base data'!B23-1</f>
        <v>41090</v>
      </c>
      <c r="D5" s="22">
        <f>'Lead-up period'!C175</f>
        <v>2325.5859375</v>
      </c>
      <c r="E5" s="23" t="s">
        <v>4</v>
      </c>
      <c r="F5" s="26">
        <f>'Lead-up period'!E175</f>
        <v>191.36226079717397</v>
      </c>
      <c r="G5" s="27" t="s">
        <v>4</v>
      </c>
      <c r="H5" s="22">
        <f>'Lead-up period'!G175</f>
        <v>12.210750000000003</v>
      </c>
      <c r="I5" s="23" t="s">
        <v>5</v>
      </c>
      <c r="J5" s="26">
        <f>'Lead-up period'!I175</f>
        <v>172.7578125</v>
      </c>
      <c r="K5" s="27" t="s">
        <v>4</v>
      </c>
      <c r="L5" s="22">
        <f>'Lead-up period'!K175</f>
        <v>24.4215</v>
      </c>
      <c r="M5" s="23" t="s">
        <v>5</v>
      </c>
      <c r="N5" s="26">
        <f>'Lead-up period'!M175</f>
        <v>84</v>
      </c>
      <c r="O5" s="27" t="s">
        <v>5</v>
      </c>
    </row>
    <row r="6" spans="1:15" s="11" customFormat="1" ht="33" customHeight="1">
      <c r="A6" s="14" t="s">
        <v>52</v>
      </c>
      <c r="B6" s="145">
        <f>'Base data'!B23</f>
        <v>41091</v>
      </c>
      <c r="C6" s="145">
        <f>'Base data'!B26-1</f>
        <v>41181</v>
      </c>
      <c r="D6" s="22">
        <f>'Breeding season'!C23</f>
        <v>3455.15625</v>
      </c>
      <c r="E6" s="23" t="s">
        <v>4</v>
      </c>
      <c r="F6" s="26">
        <f>'Breeding season'!E23</f>
        <v>207.30911586360517</v>
      </c>
      <c r="G6" s="27" t="s">
        <v>4</v>
      </c>
      <c r="H6" s="22">
        <f>'Breeding season'!G23</f>
        <v>66.14156249999999</v>
      </c>
      <c r="I6" s="23" t="s">
        <v>5</v>
      </c>
      <c r="J6" s="26">
        <f>'Breeding season'!I23</f>
        <v>345.515625</v>
      </c>
      <c r="K6" s="27" t="s">
        <v>4</v>
      </c>
      <c r="L6" s="22">
        <f>'Breeding season'!K23</f>
        <v>92.5981875</v>
      </c>
      <c r="M6" s="23" t="s">
        <v>5</v>
      </c>
      <c r="N6" s="26">
        <f>'Breeding season'!M23</f>
        <v>91</v>
      </c>
      <c r="O6" s="27" t="s">
        <v>5</v>
      </c>
    </row>
    <row r="7" spans="1:15" s="11" customFormat="1" ht="52.5" customHeight="1">
      <c r="A7" s="14" t="s">
        <v>104</v>
      </c>
      <c r="B7" s="145">
        <f>B6</f>
        <v>41091</v>
      </c>
      <c r="C7" s="145">
        <f>C8</f>
        <v>41273</v>
      </c>
      <c r="D7" s="22">
        <f>Babies!C37</f>
        <v>3071.25</v>
      </c>
      <c r="E7" s="23" t="s">
        <v>4</v>
      </c>
      <c r="F7" s="26">
        <f>Babies!E37</f>
        <v>276.4121544848069</v>
      </c>
      <c r="G7" s="27" t="s">
        <v>4</v>
      </c>
      <c r="H7" s="22">
        <f>Babies!G37</f>
        <v>17.63775</v>
      </c>
      <c r="I7" s="23" t="s">
        <v>5</v>
      </c>
      <c r="J7" s="26">
        <f>Babies!I16</f>
        <v>0</v>
      </c>
      <c r="K7" s="27" t="s">
        <v>4</v>
      </c>
      <c r="L7" s="22">
        <f>Babies!K37</f>
        <v>17.63775</v>
      </c>
      <c r="M7" s="23" t="s">
        <v>5</v>
      </c>
      <c r="N7" s="26">
        <f>Babies!M37</f>
        <v>0</v>
      </c>
      <c r="O7" s="27" t="s">
        <v>5</v>
      </c>
    </row>
    <row r="8" spans="1:15" s="11" customFormat="1" ht="33" customHeight="1">
      <c r="A8" s="14" t="s">
        <v>53</v>
      </c>
      <c r="B8" s="145">
        <f>'Base data'!B26</f>
        <v>41182</v>
      </c>
      <c r="C8" s="145">
        <f>'Base data'!B29</f>
        <v>41273</v>
      </c>
      <c r="D8" s="22">
        <f>'Second maintenance period'!C23</f>
        <v>1727.578125</v>
      </c>
      <c r="E8" s="23" t="s">
        <v>4</v>
      </c>
      <c r="F8" s="26">
        <f>'Second maintenance period'!E23</f>
        <v>207.30911586360517</v>
      </c>
      <c r="G8" s="27" t="s">
        <v>4</v>
      </c>
      <c r="H8" s="22">
        <f>'Second maintenance period'!G23</f>
        <v>13.2283125</v>
      </c>
      <c r="I8" s="23" t="s">
        <v>5</v>
      </c>
      <c r="J8" s="26">
        <f>'Second maintenance period'!I23</f>
        <v>0</v>
      </c>
      <c r="K8" s="27" t="s">
        <v>4</v>
      </c>
      <c r="L8" s="22">
        <f>'Second maintenance period'!K23</f>
        <v>13.2283125</v>
      </c>
      <c r="M8" s="23" t="s">
        <v>5</v>
      </c>
      <c r="N8" s="26">
        <f>'Second maintenance period'!M23</f>
        <v>91</v>
      </c>
      <c r="O8" s="27" t="s">
        <v>5</v>
      </c>
    </row>
    <row r="9" spans="1:15" s="11" customFormat="1" ht="33" customHeight="1">
      <c r="A9" s="14" t="s">
        <v>29</v>
      </c>
      <c r="B9" s="145">
        <f>B4</f>
        <v>40909</v>
      </c>
      <c r="C9" s="145">
        <f>C8</f>
        <v>41273</v>
      </c>
      <c r="D9" s="146">
        <f>SUM(D4:D8)/1000</f>
        <v>12.4400390625</v>
      </c>
      <c r="E9" s="25" t="s">
        <v>97</v>
      </c>
      <c r="F9" s="28">
        <f>SUM(F4:F8)</f>
        <v>1105.6486179392275</v>
      </c>
      <c r="G9" s="29" t="s">
        <v>4</v>
      </c>
      <c r="H9" s="24">
        <f>SUM(H4:H8)</f>
        <v>123.46424999999999</v>
      </c>
      <c r="I9" s="25" t="s">
        <v>5</v>
      </c>
      <c r="J9" s="28">
        <f>SUM(J4:J8)</f>
        <v>518.2734375</v>
      </c>
      <c r="K9" s="29" t="s">
        <v>4</v>
      </c>
      <c r="L9" s="24">
        <f>SUM(L4:L8)</f>
        <v>162.13162499999999</v>
      </c>
      <c r="M9" s="25" t="s">
        <v>5</v>
      </c>
      <c r="N9" s="28">
        <f>SUM(N4:N8)</f>
        <v>364</v>
      </c>
      <c r="O9" s="29" t="s">
        <v>5</v>
      </c>
    </row>
    <row r="11" spans="1:2" ht="15.75">
      <c r="A11" s="321" t="s">
        <v>30</v>
      </c>
      <c r="B11" s="321"/>
    </row>
    <row r="12" spans="4:15" s="10" customFormat="1" ht="39.75" customHeight="1">
      <c r="D12" s="325" t="s">
        <v>32</v>
      </c>
      <c r="E12" s="326"/>
      <c r="F12" s="323" t="s">
        <v>33</v>
      </c>
      <c r="G12" s="324"/>
      <c r="H12" s="325" t="s">
        <v>262</v>
      </c>
      <c r="I12" s="326"/>
      <c r="J12" s="327" t="s">
        <v>31</v>
      </c>
      <c r="K12" s="328"/>
      <c r="L12" s="325" t="s">
        <v>34</v>
      </c>
      <c r="M12" s="326"/>
      <c r="N12" s="327" t="s">
        <v>253</v>
      </c>
      <c r="O12" s="328"/>
    </row>
    <row r="13" spans="1:15" s="11" customFormat="1" ht="33" customHeight="1">
      <c r="A13" s="14" t="s">
        <v>50</v>
      </c>
      <c r="B13" s="145">
        <f aca="true" t="shared" si="0" ref="B13:C15">B4</f>
        <v>40909</v>
      </c>
      <c r="C13" s="145">
        <f t="shared" si="0"/>
        <v>41006</v>
      </c>
      <c r="D13" s="22">
        <f>'First maintenance'!C25</f>
        <v>55.813992732509085</v>
      </c>
      <c r="E13" s="23" t="s">
        <v>4</v>
      </c>
      <c r="F13" s="26">
        <f>'First maintenance'!E25</f>
        <v>39.867137666077916</v>
      </c>
      <c r="G13" s="27" t="s">
        <v>4</v>
      </c>
      <c r="H13" s="22">
        <f>'First maintenance'!G25</f>
        <v>7.122937499999999</v>
      </c>
      <c r="I13" s="233" t="s">
        <v>4</v>
      </c>
      <c r="J13" s="26">
        <f>J4</f>
        <v>0</v>
      </c>
      <c r="K13" s="27" t="s">
        <v>4</v>
      </c>
      <c r="L13" s="22">
        <f>L4</f>
        <v>14.245874999999998</v>
      </c>
      <c r="M13" s="23" t="s">
        <v>5</v>
      </c>
      <c r="N13" s="26">
        <f>N4</f>
        <v>98</v>
      </c>
      <c r="O13" s="27" t="s">
        <v>5</v>
      </c>
    </row>
    <row r="14" spans="1:15" s="11" customFormat="1" ht="33" customHeight="1">
      <c r="A14" s="14" t="s">
        <v>95</v>
      </c>
      <c r="B14" s="145">
        <f t="shared" si="0"/>
        <v>41007</v>
      </c>
      <c r="C14" s="145">
        <f t="shared" si="0"/>
        <v>41090</v>
      </c>
      <c r="D14" s="22">
        <f>'Lead-up period'!C177</f>
        <v>95.681130398587</v>
      </c>
      <c r="E14" s="23" t="s">
        <v>4</v>
      </c>
      <c r="F14" s="26">
        <f>'Lead-up period'!E177</f>
        <v>34.17183228520964</v>
      </c>
      <c r="G14" s="27" t="s">
        <v>4</v>
      </c>
      <c r="H14" s="22">
        <f>'Lead-up period'!G12</f>
        <v>6.105375000000001</v>
      </c>
      <c r="I14" s="233" t="s">
        <v>4</v>
      </c>
      <c r="J14" s="26">
        <f>J5</f>
        <v>172.7578125</v>
      </c>
      <c r="K14" s="27" t="s">
        <v>4</v>
      </c>
      <c r="L14" s="22">
        <f>L5</f>
        <v>24.4215</v>
      </c>
      <c r="M14" s="23" t="s">
        <v>5</v>
      </c>
      <c r="N14" s="26">
        <f>N5</f>
        <v>84</v>
      </c>
      <c r="O14" s="27" t="s">
        <v>5</v>
      </c>
    </row>
    <row r="15" spans="1:15" s="11" customFormat="1" ht="33" customHeight="1">
      <c r="A15" s="14" t="s">
        <v>52</v>
      </c>
      <c r="B15" s="145">
        <f t="shared" si="0"/>
        <v>41091</v>
      </c>
      <c r="C15" s="145">
        <f t="shared" si="0"/>
        <v>41181</v>
      </c>
      <c r="D15" s="22">
        <f>'Breeding season'!C25</f>
        <v>103.65455793180259</v>
      </c>
      <c r="E15" s="23" t="s">
        <v>4</v>
      </c>
      <c r="F15" s="26">
        <f>'Breeding season'!E25</f>
        <v>37.019484975643785</v>
      </c>
      <c r="G15" s="27" t="s">
        <v>4</v>
      </c>
      <c r="H15" s="22">
        <f>'Breeding season'!G25</f>
        <v>33.070781249999996</v>
      </c>
      <c r="I15" s="233" t="s">
        <v>4</v>
      </c>
      <c r="J15" s="26">
        <f>J6</f>
        <v>345.515625</v>
      </c>
      <c r="K15" s="27" t="s">
        <v>4</v>
      </c>
      <c r="L15" s="22">
        <f>L6</f>
        <v>92.5981875</v>
      </c>
      <c r="M15" s="23" t="s">
        <v>5</v>
      </c>
      <c r="N15" s="26">
        <f>N6</f>
        <v>91</v>
      </c>
      <c r="O15" s="27" t="s">
        <v>5</v>
      </c>
    </row>
    <row r="16" spans="1:15" s="11" customFormat="1" ht="52.5" customHeight="1">
      <c r="A16" s="14" t="s">
        <v>104</v>
      </c>
      <c r="B16" s="145">
        <f>B15</f>
        <v>41091</v>
      </c>
      <c r="C16" s="145">
        <f>C17</f>
        <v>41273</v>
      </c>
      <c r="D16" s="22">
        <f>Babies!C39</f>
        <v>92.13738482826896</v>
      </c>
      <c r="E16" s="23" t="s">
        <v>4</v>
      </c>
      <c r="F16" s="26">
        <f>Babies!E39</f>
        <v>49.359313300858375</v>
      </c>
      <c r="G16" s="27" t="s">
        <v>4</v>
      </c>
      <c r="H16" s="22">
        <f>Babies!G39</f>
        <v>8.818875</v>
      </c>
      <c r="I16" s="233" t="s">
        <v>4</v>
      </c>
      <c r="J16" s="26">
        <f>Babies!I37</f>
        <v>0</v>
      </c>
      <c r="K16" s="27" t="s">
        <v>4</v>
      </c>
      <c r="L16" s="22">
        <f>Babies!K39</f>
        <v>17.63775</v>
      </c>
      <c r="M16" s="23" t="s">
        <v>5</v>
      </c>
      <c r="N16" s="26">
        <f>Babies!M37</f>
        <v>0</v>
      </c>
      <c r="O16" s="27" t="s">
        <v>5</v>
      </c>
    </row>
    <row r="17" spans="1:15" s="11" customFormat="1" ht="33" customHeight="1">
      <c r="A17" s="14" t="s">
        <v>53</v>
      </c>
      <c r="B17" s="145">
        <f>B8</f>
        <v>41182</v>
      </c>
      <c r="C17" s="145">
        <f>C8</f>
        <v>41273</v>
      </c>
      <c r="D17" s="22">
        <f>'Second maintenance period'!C25</f>
        <v>51.82727896590129</v>
      </c>
      <c r="E17" s="23" t="s">
        <v>4</v>
      </c>
      <c r="F17" s="26">
        <f>'Second maintenance period'!E25</f>
        <v>37.019484975643785</v>
      </c>
      <c r="G17" s="27" t="s">
        <v>4</v>
      </c>
      <c r="H17" s="22">
        <f>'Second maintenance period'!G25</f>
        <v>6.61415625</v>
      </c>
      <c r="I17" s="233" t="s">
        <v>4</v>
      </c>
      <c r="J17" s="26">
        <f>J8</f>
        <v>0</v>
      </c>
      <c r="K17" s="27" t="s">
        <v>4</v>
      </c>
      <c r="L17" s="22">
        <f>L8</f>
        <v>13.2283125</v>
      </c>
      <c r="M17" s="23" t="s">
        <v>5</v>
      </c>
      <c r="N17" s="26">
        <f>N8</f>
        <v>91</v>
      </c>
      <c r="O17" s="27" t="s">
        <v>5</v>
      </c>
    </row>
    <row r="18" spans="1:15" s="11" customFormat="1" ht="33" customHeight="1">
      <c r="A18" s="14" t="s">
        <v>29</v>
      </c>
      <c r="B18" s="145">
        <f>B13</f>
        <v>40909</v>
      </c>
      <c r="C18" s="145">
        <f>C17</f>
        <v>41273</v>
      </c>
      <c r="D18" s="24">
        <f>SUM(D13:D17)</f>
        <v>399.11434485706894</v>
      </c>
      <c r="E18" s="25" t="s">
        <v>4</v>
      </c>
      <c r="F18" s="28">
        <f>SUM(F13:F17)</f>
        <v>197.43725320343353</v>
      </c>
      <c r="G18" s="29" t="s">
        <v>4</v>
      </c>
      <c r="H18" s="24">
        <f>SUM(H13:H17)</f>
        <v>61.732124999999996</v>
      </c>
      <c r="I18" s="25" t="s">
        <v>4</v>
      </c>
      <c r="J18" s="28">
        <f>SUM(J13:J17)</f>
        <v>518.2734375</v>
      </c>
      <c r="K18" s="29" t="s">
        <v>4</v>
      </c>
      <c r="L18" s="24">
        <f>SUM(L13:L17)</f>
        <v>162.13162499999999</v>
      </c>
      <c r="M18" s="25" t="s">
        <v>5</v>
      </c>
      <c r="N18" s="28">
        <f>SUM(N13:N17)</f>
        <v>364</v>
      </c>
      <c r="O18" s="29" t="s">
        <v>5</v>
      </c>
    </row>
  </sheetData>
  <sheetProtection/>
  <mergeCells count="14">
    <mergeCell ref="D12:E12"/>
    <mergeCell ref="N12:O12"/>
    <mergeCell ref="J3:K3"/>
    <mergeCell ref="H3:I3"/>
    <mergeCell ref="L12:M12"/>
    <mergeCell ref="F12:G12"/>
    <mergeCell ref="H12:I12"/>
    <mergeCell ref="J12:K12"/>
    <mergeCell ref="A11:B11"/>
    <mergeCell ref="A1:O1"/>
    <mergeCell ref="F3:G3"/>
    <mergeCell ref="L3:M3"/>
    <mergeCell ref="N3:O3"/>
    <mergeCell ref="D3:E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3"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Q34"/>
  <sheetViews>
    <sheetView zoomScalePageLayoutView="0" workbookViewId="0" topLeftCell="A10">
      <selection activeCell="G26" sqref="G26:H27"/>
    </sheetView>
  </sheetViews>
  <sheetFormatPr defaultColWidth="7.8515625" defaultRowHeight="12.75"/>
  <cols>
    <col min="1" max="2" width="10.28125" style="20" customWidth="1"/>
    <col min="3" max="4" width="9.7109375" style="20" customWidth="1"/>
    <col min="5" max="12" width="7.7109375" style="20" customWidth="1"/>
    <col min="13" max="14" width="7.7109375" style="6" customWidth="1"/>
    <col min="15" max="16384" width="7.8515625" style="20" customWidth="1"/>
  </cols>
  <sheetData>
    <row r="1" spans="1:14" s="89" customFormat="1" ht="34.5" customHeight="1">
      <c r="A1" s="370" t="s">
        <v>69</v>
      </c>
      <c r="B1" s="370"/>
      <c r="C1" s="370"/>
      <c r="D1" s="370"/>
      <c r="E1" s="370"/>
      <c r="F1" s="370"/>
      <c r="G1" s="370"/>
      <c r="H1" s="370"/>
      <c r="I1" s="370"/>
      <c r="J1" s="370"/>
      <c r="K1" s="370"/>
      <c r="L1" s="370"/>
      <c r="M1" s="370"/>
      <c r="N1" s="370"/>
    </row>
    <row r="2" spans="1:14" ht="18" customHeight="1">
      <c r="A2" s="348" t="s">
        <v>57</v>
      </c>
      <c r="B2" s="348"/>
      <c r="C2" s="348"/>
      <c r="D2" s="102">
        <f>'Base data'!B17</f>
        <v>40909</v>
      </c>
      <c r="M2" s="20"/>
      <c r="N2" s="20"/>
    </row>
    <row r="3" spans="1:14" ht="18" customHeight="1">
      <c r="A3" s="348" t="s">
        <v>54</v>
      </c>
      <c r="B3" s="348"/>
      <c r="C3" s="348"/>
      <c r="D3" s="102">
        <f>'Base data'!B20</f>
        <v>41007</v>
      </c>
      <c r="M3" s="20"/>
      <c r="N3" s="20"/>
    </row>
    <row r="4" spans="1:14" ht="18" customHeight="1">
      <c r="A4" s="348" t="s">
        <v>55</v>
      </c>
      <c r="B4" s="348"/>
      <c r="C4" s="348"/>
      <c r="D4" s="103">
        <f>'Base data'!C16</f>
        <v>98</v>
      </c>
      <c r="M4" s="20"/>
      <c r="N4" s="20"/>
    </row>
    <row r="5" spans="1:14" ht="18" customHeight="1">
      <c r="A5" s="348" t="s">
        <v>56</v>
      </c>
      <c r="B5" s="348"/>
      <c r="C5" s="348"/>
      <c r="D5" s="104">
        <f>'Base data'!C17</f>
        <v>14</v>
      </c>
      <c r="M5" s="20"/>
      <c r="N5" s="20"/>
    </row>
    <row r="6" spans="1:14" ht="18" customHeight="1">
      <c r="A6" s="348" t="s">
        <v>58</v>
      </c>
      <c r="B6" s="348"/>
      <c r="C6" s="348"/>
      <c r="D6" s="105">
        <f>'Base data'!B10</f>
        <v>151.875</v>
      </c>
      <c r="M6" s="20"/>
      <c r="N6" s="20"/>
    </row>
    <row r="7" spans="1:14" ht="54" customHeight="1">
      <c r="A7" s="352" t="s">
        <v>241</v>
      </c>
      <c r="B7" s="352"/>
      <c r="C7" s="352"/>
      <c r="D7" s="352"/>
      <c r="E7" s="352"/>
      <c r="F7" s="352"/>
      <c r="G7" s="352"/>
      <c r="H7" s="352"/>
      <c r="I7" s="352"/>
      <c r="J7" s="352"/>
      <c r="K7" s="352"/>
      <c r="L7" s="352"/>
      <c r="M7" s="352"/>
      <c r="N7" s="352"/>
    </row>
    <row r="8" spans="1:14" ht="18" customHeight="1">
      <c r="A8" s="352" t="s">
        <v>60</v>
      </c>
      <c r="B8" s="352"/>
      <c r="C8" s="352"/>
      <c r="D8" s="352"/>
      <c r="E8" s="352"/>
      <c r="F8" s="352"/>
      <c r="G8" s="352"/>
      <c r="H8" s="352"/>
      <c r="I8" s="352"/>
      <c r="J8" s="352"/>
      <c r="K8" s="352"/>
      <c r="L8" s="352"/>
      <c r="M8" s="352"/>
      <c r="N8" s="352"/>
    </row>
    <row r="9" spans="1:14" ht="19.5" customHeight="1">
      <c r="A9" s="349" t="s">
        <v>35</v>
      </c>
      <c r="B9" s="349"/>
      <c r="C9" s="349"/>
      <c r="D9" s="349"/>
      <c r="E9" s="349"/>
      <c r="F9" s="349"/>
      <c r="G9" s="349"/>
      <c r="H9" s="349"/>
      <c r="I9" s="349"/>
      <c r="J9" s="349"/>
      <c r="K9" s="349"/>
      <c r="L9" s="349"/>
      <c r="M9" s="349"/>
      <c r="N9" s="349"/>
    </row>
    <row r="10" spans="1:17" s="5" customFormat="1" ht="44.25" customHeight="1">
      <c r="A10" s="351" t="s">
        <v>36</v>
      </c>
      <c r="B10" s="351"/>
      <c r="C10" s="351"/>
      <c r="D10" s="351"/>
      <c r="E10" s="344" t="s">
        <v>37</v>
      </c>
      <c r="F10" s="344"/>
      <c r="G10" s="345" t="s">
        <v>263</v>
      </c>
      <c r="H10" s="346"/>
      <c r="I10" s="336" t="s">
        <v>39</v>
      </c>
      <c r="J10" s="337"/>
      <c r="K10" s="345" t="s">
        <v>7</v>
      </c>
      <c r="L10" s="346"/>
      <c r="M10" s="336" t="s">
        <v>252</v>
      </c>
      <c r="N10" s="337"/>
      <c r="O10" s="110"/>
      <c r="P10" s="111"/>
      <c r="Q10" s="20"/>
    </row>
    <row r="11" spans="1:17" s="5" customFormat="1" ht="12.75">
      <c r="A11" s="347" t="s">
        <v>25</v>
      </c>
      <c r="B11" s="347"/>
      <c r="C11" s="32">
        <f>D6*0.125</f>
        <v>18.984375</v>
      </c>
      <c r="D11" s="33" t="s">
        <v>4</v>
      </c>
      <c r="E11" s="113">
        <f>D6*4000/266667</f>
        <v>2.2781221523473096</v>
      </c>
      <c r="F11" s="7" t="s">
        <v>4</v>
      </c>
      <c r="G11" s="30">
        <f>D6*0.0067</f>
        <v>1.0175625</v>
      </c>
      <c r="H11" s="31" t="s">
        <v>5</v>
      </c>
      <c r="I11" s="8">
        <v>0</v>
      </c>
      <c r="J11" s="7" t="s">
        <v>4</v>
      </c>
      <c r="K11" s="30">
        <f>D6*0.0067</f>
        <v>1.0175625</v>
      </c>
      <c r="L11" s="106" t="s">
        <v>5</v>
      </c>
      <c r="M11" s="37">
        <f>'Base data'!B8*0.5/1000</f>
        <v>1</v>
      </c>
      <c r="N11" s="34" t="s">
        <v>5</v>
      </c>
      <c r="O11" s="107"/>
      <c r="P11" s="19"/>
      <c r="Q11" s="20"/>
    </row>
    <row r="12" spans="1:17" s="5" customFormat="1" ht="12.75">
      <c r="A12" s="115"/>
      <c r="B12" s="115"/>
      <c r="C12" s="231">
        <f>C11/3.7</f>
        <v>5.130912162162162</v>
      </c>
      <c r="D12" s="367" t="s">
        <v>258</v>
      </c>
      <c r="E12" s="8">
        <f>E11/3.5</f>
        <v>0.6508920435278027</v>
      </c>
      <c r="F12" s="7" t="s">
        <v>15</v>
      </c>
      <c r="G12" s="30">
        <f>G11/5</f>
        <v>0.20351249999999999</v>
      </c>
      <c r="H12" s="31" t="s">
        <v>15</v>
      </c>
      <c r="I12" s="8">
        <v>0</v>
      </c>
      <c r="J12" s="7" t="s">
        <v>15</v>
      </c>
      <c r="K12" s="30">
        <f>K11/5</f>
        <v>0.20351249999999999</v>
      </c>
      <c r="L12" s="31" t="s">
        <v>15</v>
      </c>
      <c r="M12" s="8">
        <f>M11/5</f>
        <v>0.2</v>
      </c>
      <c r="N12" s="7" t="s">
        <v>15</v>
      </c>
      <c r="O12" s="107"/>
      <c r="P12" s="19"/>
      <c r="Q12" s="20"/>
    </row>
    <row r="13" spans="1:17" s="5" customFormat="1" ht="12.75">
      <c r="A13" s="87"/>
      <c r="B13" s="87"/>
      <c r="C13" s="232"/>
      <c r="D13" s="367"/>
      <c r="E13" s="112">
        <f>E11/0.25</f>
        <v>9.112488609389239</v>
      </c>
      <c r="F13" s="7" t="s">
        <v>62</v>
      </c>
      <c r="G13" s="32">
        <f>G11*30</f>
        <v>30.526874999999997</v>
      </c>
      <c r="H13" s="31" t="s">
        <v>61</v>
      </c>
      <c r="I13" s="112">
        <f>I11/0.2</f>
        <v>0</v>
      </c>
      <c r="J13" s="7" t="s">
        <v>62</v>
      </c>
      <c r="K13" s="32">
        <f>K11*30</f>
        <v>30.526874999999997</v>
      </c>
      <c r="L13" s="106" t="s">
        <v>61</v>
      </c>
      <c r="M13" s="8">
        <f>M11*30</f>
        <v>30</v>
      </c>
      <c r="N13" s="7" t="s">
        <v>61</v>
      </c>
      <c r="O13" s="18"/>
      <c r="P13" s="19"/>
      <c r="Q13" s="20"/>
    </row>
    <row r="14" spans="1:13" s="21" customFormat="1" ht="24.75" customHeight="1">
      <c r="A14" s="87"/>
      <c r="B14" s="16"/>
      <c r="C14" s="16"/>
      <c r="D14" s="17"/>
      <c r="E14" s="18"/>
      <c r="F14" s="18"/>
      <c r="G14" s="339" t="s">
        <v>243</v>
      </c>
      <c r="H14" s="340"/>
      <c r="I14" s="109"/>
      <c r="J14" s="109"/>
      <c r="K14" s="109"/>
      <c r="L14" s="109"/>
      <c r="M14" s="109"/>
    </row>
    <row r="15" spans="1:17" s="5" customFormat="1" ht="22.5" customHeight="1">
      <c r="A15" s="338" t="s">
        <v>30</v>
      </c>
      <c r="B15" s="338"/>
      <c r="C15" s="338"/>
      <c r="D15" s="338"/>
      <c r="E15" s="41"/>
      <c r="F15" s="41"/>
      <c r="G15" s="341"/>
      <c r="H15" s="342"/>
      <c r="I15" s="41"/>
      <c r="J15" s="41"/>
      <c r="K15" s="41"/>
      <c r="L15" s="41"/>
      <c r="M15" s="41"/>
      <c r="N15" s="41"/>
      <c r="O15" s="21"/>
      <c r="P15" s="21"/>
      <c r="Q15" s="20"/>
    </row>
    <row r="16" spans="1:17" s="5" customFormat="1" ht="58.5" customHeight="1">
      <c r="A16" s="334" t="s">
        <v>38</v>
      </c>
      <c r="B16" s="334"/>
      <c r="C16" s="335"/>
      <c r="D16" s="335"/>
      <c r="E16" s="344" t="s">
        <v>20</v>
      </c>
      <c r="F16" s="344"/>
      <c r="G16" s="345" t="s">
        <v>262</v>
      </c>
      <c r="H16" s="346"/>
      <c r="I16" s="336" t="s">
        <v>39</v>
      </c>
      <c r="J16" s="337"/>
      <c r="K16" s="350" t="s">
        <v>18</v>
      </c>
      <c r="L16" s="350"/>
      <c r="M16" s="336" t="s">
        <v>254</v>
      </c>
      <c r="N16" s="337"/>
      <c r="O16" s="110"/>
      <c r="P16" s="111"/>
      <c r="Q16" s="20"/>
    </row>
    <row r="17" spans="1:17" s="5" customFormat="1" ht="15" customHeight="1">
      <c r="A17" s="343"/>
      <c r="B17" s="343"/>
      <c r="C17" s="35">
        <f>E11/4</f>
        <v>0.5695305380868274</v>
      </c>
      <c r="D17" s="36" t="s">
        <v>4</v>
      </c>
      <c r="E17" s="8">
        <f>E11/5.6</f>
        <v>0.40680752720487673</v>
      </c>
      <c r="F17" s="7" t="s">
        <v>4</v>
      </c>
      <c r="G17" s="30">
        <f>G11/2</f>
        <v>0.50878125</v>
      </c>
      <c r="H17" s="106" t="s">
        <v>4</v>
      </c>
      <c r="I17" s="8">
        <f>I11</f>
        <v>0</v>
      </c>
      <c r="J17" s="7" t="s">
        <v>4</v>
      </c>
      <c r="K17" s="35">
        <f>K11</f>
        <v>1.0175625</v>
      </c>
      <c r="L17" s="33" t="s">
        <v>4</v>
      </c>
      <c r="M17" s="8">
        <f>M11</f>
        <v>1</v>
      </c>
      <c r="N17" s="34" t="s">
        <v>5</v>
      </c>
      <c r="O17" s="108"/>
      <c r="P17" s="17"/>
      <c r="Q17" s="20"/>
    </row>
    <row r="18" spans="1:17" s="5" customFormat="1" ht="15" customHeight="1">
      <c r="A18" s="335"/>
      <c r="B18" s="335"/>
      <c r="C18" s="35">
        <f>C17/3.5</f>
        <v>0.16272301088195068</v>
      </c>
      <c r="D18" s="33" t="s">
        <v>15</v>
      </c>
      <c r="E18" s="8">
        <f>E17/3.5</f>
        <v>0.11623072205853621</v>
      </c>
      <c r="F18" s="7" t="s">
        <v>15</v>
      </c>
      <c r="G18" s="30">
        <f>G11/2.5</f>
        <v>0.40702499999999997</v>
      </c>
      <c r="H18" s="117" t="s">
        <v>15</v>
      </c>
      <c r="I18" s="8">
        <f>I12</f>
        <v>0</v>
      </c>
      <c r="J18" s="7" t="s">
        <v>15</v>
      </c>
      <c r="K18" s="35">
        <f>K11/4</f>
        <v>0.254390625</v>
      </c>
      <c r="L18" s="33" t="s">
        <v>15</v>
      </c>
      <c r="M18" s="8">
        <f>M17/5</f>
        <v>0.2</v>
      </c>
      <c r="N18" s="7" t="s">
        <v>15</v>
      </c>
      <c r="O18" s="108"/>
      <c r="P18" s="17"/>
      <c r="Q18" s="20"/>
    </row>
    <row r="19" spans="1:17" s="5" customFormat="1" ht="12.75">
      <c r="A19" s="87"/>
      <c r="B19" s="87"/>
      <c r="C19" s="32">
        <f>C17/0.25</f>
        <v>2.2781221523473096</v>
      </c>
      <c r="D19" s="106" t="s">
        <v>62</v>
      </c>
      <c r="E19" s="112">
        <f>E17/0.25</f>
        <v>1.627230108819507</v>
      </c>
      <c r="F19" s="7" t="s">
        <v>62</v>
      </c>
      <c r="G19" s="32">
        <f>G17*4</f>
        <v>2.035125</v>
      </c>
      <c r="H19" s="31" t="s">
        <v>62</v>
      </c>
      <c r="I19" s="112">
        <f>I17/0.2</f>
        <v>0</v>
      </c>
      <c r="J19" s="7" t="s">
        <v>62</v>
      </c>
      <c r="K19" s="32">
        <f>K17/0.25</f>
        <v>4.07025</v>
      </c>
      <c r="L19" s="106" t="s">
        <v>62</v>
      </c>
      <c r="M19" s="8">
        <f>M17*30</f>
        <v>30</v>
      </c>
      <c r="N19" s="7" t="s">
        <v>61</v>
      </c>
      <c r="O19" s="18"/>
      <c r="P19" s="19"/>
      <c r="Q19" s="20"/>
    </row>
    <row r="20" spans="1:8" s="5" customFormat="1" ht="12.75">
      <c r="A20" s="168"/>
      <c r="B20" s="4"/>
      <c r="C20" s="3"/>
      <c r="D20" s="2"/>
      <c r="E20" s="2"/>
      <c r="F20" s="3"/>
      <c r="G20" s="3"/>
      <c r="H20" s="3"/>
    </row>
    <row r="21" spans="1:14" s="5" customFormat="1" ht="12.75" customHeight="1">
      <c r="A21" s="329" t="s">
        <v>59</v>
      </c>
      <c r="B21" s="330"/>
      <c r="C21" s="330"/>
      <c r="D21" s="330"/>
      <c r="E21" s="330"/>
      <c r="F21" s="330"/>
      <c r="G21" s="330"/>
      <c r="H21" s="331"/>
      <c r="I21" s="13"/>
      <c r="J21" s="88"/>
      <c r="K21" s="88"/>
      <c r="L21" s="88"/>
      <c r="M21" s="88"/>
      <c r="N21" s="88"/>
    </row>
    <row r="22" spans="1:14" s="5" customFormat="1" ht="12.75" customHeight="1">
      <c r="A22" s="167"/>
      <c r="B22" s="139"/>
      <c r="C22" s="360" t="s">
        <v>16</v>
      </c>
      <c r="D22" s="360"/>
      <c r="E22" s="332" t="s">
        <v>8</v>
      </c>
      <c r="F22" s="353"/>
      <c r="G22" s="358" t="s">
        <v>239</v>
      </c>
      <c r="H22" s="359"/>
      <c r="I22" s="332" t="s">
        <v>17</v>
      </c>
      <c r="J22" s="353"/>
      <c r="K22" s="358" t="s">
        <v>9</v>
      </c>
      <c r="L22" s="359"/>
      <c r="M22" s="332" t="s">
        <v>252</v>
      </c>
      <c r="N22" s="333"/>
    </row>
    <row r="23" spans="1:14" ht="12.75">
      <c r="A23" s="354"/>
      <c r="B23" s="355"/>
      <c r="C23" s="131">
        <f>C11*$D$4</f>
        <v>1860.46875</v>
      </c>
      <c r="D23" s="132" t="s">
        <v>4</v>
      </c>
      <c r="E23" s="133">
        <f>E11*$D$4</f>
        <v>223.25597093003634</v>
      </c>
      <c r="F23" s="134" t="s">
        <v>4</v>
      </c>
      <c r="G23" s="131">
        <f>G11*$D$5</f>
        <v>14.245874999999998</v>
      </c>
      <c r="H23" s="132" t="s">
        <v>5</v>
      </c>
      <c r="I23" s="133">
        <f>I11*$D$4</f>
        <v>0</v>
      </c>
      <c r="J23" s="134" t="s">
        <v>4</v>
      </c>
      <c r="K23" s="131">
        <f>K11*$D$5</f>
        <v>14.245874999999998</v>
      </c>
      <c r="L23" s="132" t="s">
        <v>5</v>
      </c>
      <c r="M23" s="133">
        <f>M11*$D$4</f>
        <v>98</v>
      </c>
      <c r="N23" s="134" t="s">
        <v>5</v>
      </c>
    </row>
    <row r="24" spans="1:14" ht="12.75">
      <c r="A24" s="141"/>
      <c r="B24" s="140"/>
      <c r="C24" s="360" t="s">
        <v>91</v>
      </c>
      <c r="D24" s="360"/>
      <c r="E24" s="375" t="s">
        <v>92</v>
      </c>
      <c r="F24" s="375"/>
      <c r="G24" s="365" t="s">
        <v>262</v>
      </c>
      <c r="H24" s="366"/>
      <c r="I24" s="356"/>
      <c r="J24" s="357"/>
      <c r="K24" s="360" t="s">
        <v>19</v>
      </c>
      <c r="L24" s="360"/>
      <c r="M24" s="88"/>
      <c r="N24" s="88"/>
    </row>
    <row r="25" spans="1:14" ht="12.75">
      <c r="A25" s="354"/>
      <c r="B25" s="355"/>
      <c r="C25" s="131">
        <f>C17*$D$4</f>
        <v>55.813992732509085</v>
      </c>
      <c r="D25" s="132" t="s">
        <v>4</v>
      </c>
      <c r="E25" s="133">
        <f>E17*$D$4</f>
        <v>39.867137666077916</v>
      </c>
      <c r="F25" s="134" t="s">
        <v>4</v>
      </c>
      <c r="G25" s="237">
        <f>G17*D5</f>
        <v>7.122937499999999</v>
      </c>
      <c r="H25" s="236" t="s">
        <v>4</v>
      </c>
      <c r="I25" s="135"/>
      <c r="J25" s="136"/>
      <c r="K25" s="131">
        <f>K23</f>
        <v>14.245874999999998</v>
      </c>
      <c r="L25" s="132" t="s">
        <v>4</v>
      </c>
      <c r="M25" s="88"/>
      <c r="N25" s="88"/>
    </row>
    <row r="26" spans="1:14" ht="12.75">
      <c r="A26" s="141"/>
      <c r="B26" s="141"/>
      <c r="C26" s="122"/>
      <c r="D26" s="142"/>
      <c r="E26" s="122"/>
      <c r="F26" s="235"/>
      <c r="G26" s="361" t="s">
        <v>26</v>
      </c>
      <c r="H26" s="362"/>
      <c r="I26" s="135"/>
      <c r="J26" s="234"/>
      <c r="K26" s="135"/>
      <c r="L26" s="234"/>
      <c r="M26" s="88"/>
      <c r="N26" s="88"/>
    </row>
    <row r="27" spans="1:14" ht="12.75">
      <c r="A27" s="141"/>
      <c r="B27" s="141"/>
      <c r="C27" s="135"/>
      <c r="D27" s="234"/>
      <c r="E27" s="135"/>
      <c r="F27" s="136"/>
      <c r="G27" s="363"/>
      <c r="H27" s="364"/>
      <c r="I27" s="135"/>
      <c r="J27" s="234"/>
      <c r="K27" s="135"/>
      <c r="L27" s="234"/>
      <c r="M27" s="88"/>
      <c r="N27" s="88"/>
    </row>
    <row r="28" spans="1:14" ht="12.75">
      <c r="A28" s="141"/>
      <c r="B28" s="141"/>
      <c r="C28" s="135"/>
      <c r="D28" s="234"/>
      <c r="E28" s="21"/>
      <c r="F28" s="21"/>
      <c r="G28" s="135"/>
      <c r="H28" s="21"/>
      <c r="J28" s="88"/>
      <c r="K28" s="88"/>
      <c r="L28" s="88"/>
      <c r="M28" s="88"/>
      <c r="N28" s="88"/>
    </row>
    <row r="29" spans="1:13" ht="12.75" customHeight="1">
      <c r="A29" s="371" t="s">
        <v>63</v>
      </c>
      <c r="B29" s="372"/>
      <c r="C29" s="372"/>
      <c r="D29" s="372"/>
      <c r="E29" s="38" t="s">
        <v>8</v>
      </c>
      <c r="F29" s="38"/>
      <c r="G29" s="122">
        <f>E11/C11*1000</f>
        <v>119.99985000018751</v>
      </c>
      <c r="H29" s="38" t="s">
        <v>64</v>
      </c>
      <c r="I29" s="38"/>
      <c r="J29" s="122">
        <f>E17/C11*1000</f>
        <v>21.42854464289063</v>
      </c>
      <c r="K29" s="125"/>
      <c r="L29" s="121"/>
      <c r="M29" s="121"/>
    </row>
    <row r="30" spans="1:13" ht="12.75">
      <c r="A30" s="368"/>
      <c r="B30" s="369"/>
      <c r="C30" s="369"/>
      <c r="D30" s="369"/>
      <c r="E30" s="21" t="s">
        <v>17</v>
      </c>
      <c r="F30" s="21"/>
      <c r="G30" s="21">
        <f>I11/C11*1000</f>
        <v>0</v>
      </c>
      <c r="H30" s="21"/>
      <c r="I30" s="123"/>
      <c r="J30" s="123"/>
      <c r="K30" s="126"/>
      <c r="L30" s="121"/>
      <c r="M30" s="121"/>
    </row>
    <row r="31" spans="1:11" ht="12.75">
      <c r="A31" s="373"/>
      <c r="B31" s="374"/>
      <c r="C31" s="374"/>
      <c r="D31" s="374"/>
      <c r="E31" s="119"/>
      <c r="F31" s="124"/>
      <c r="G31" s="124"/>
      <c r="H31" s="124"/>
      <c r="I31" s="124"/>
      <c r="J31" s="124"/>
      <c r="K31" s="39"/>
    </row>
    <row r="32" spans="1:14" ht="12.75">
      <c r="A32" s="368" t="s">
        <v>240</v>
      </c>
      <c r="B32" s="369"/>
      <c r="C32" s="369"/>
      <c r="D32" s="369"/>
      <c r="E32" s="369"/>
      <c r="F32" s="369"/>
      <c r="G32" s="369"/>
      <c r="H32" s="369"/>
      <c r="I32" s="369"/>
      <c r="J32" s="369"/>
      <c r="K32" s="369"/>
      <c r="L32" s="369"/>
      <c r="M32" s="369"/>
      <c r="N32" s="369"/>
    </row>
    <row r="33" spans="1:14" ht="12.75">
      <c r="A33" s="368"/>
      <c r="B33" s="369"/>
      <c r="C33" s="369"/>
      <c r="D33" s="369"/>
      <c r="E33" s="369"/>
      <c r="F33" s="369"/>
      <c r="G33" s="369"/>
      <c r="H33" s="369"/>
      <c r="I33" s="369"/>
      <c r="J33" s="369"/>
      <c r="K33" s="369"/>
      <c r="L33" s="369"/>
      <c r="M33" s="369"/>
      <c r="N33" s="369"/>
    </row>
    <row r="34" spans="1:14" ht="6" customHeight="1">
      <c r="A34" s="368"/>
      <c r="B34" s="369"/>
      <c r="C34" s="369"/>
      <c r="D34" s="369"/>
      <c r="E34" s="369"/>
      <c r="F34" s="369"/>
      <c r="G34" s="369"/>
      <c r="H34" s="369"/>
      <c r="I34" s="369"/>
      <c r="J34" s="369"/>
      <c r="K34" s="369"/>
      <c r="L34" s="369"/>
      <c r="M34" s="369"/>
      <c r="N34" s="369"/>
    </row>
  </sheetData>
  <sheetProtection/>
  <mergeCells count="43">
    <mergeCell ref="D12:D13"/>
    <mergeCell ref="A32:N34"/>
    <mergeCell ref="A1:N1"/>
    <mergeCell ref="A29:D31"/>
    <mergeCell ref="C22:D22"/>
    <mergeCell ref="A25:B25"/>
    <mergeCell ref="C24:D24"/>
    <mergeCell ref="E22:F22"/>
    <mergeCell ref="E24:F24"/>
    <mergeCell ref="G22:H22"/>
    <mergeCell ref="I22:J22"/>
    <mergeCell ref="A23:B23"/>
    <mergeCell ref="I24:J24"/>
    <mergeCell ref="K22:L22"/>
    <mergeCell ref="K24:L24"/>
    <mergeCell ref="G26:H27"/>
    <mergeCell ref="G24:H24"/>
    <mergeCell ref="A10:D10"/>
    <mergeCell ref="A7:N7"/>
    <mergeCell ref="A8:N8"/>
    <mergeCell ref="A3:C3"/>
    <mergeCell ref="A4:C4"/>
    <mergeCell ref="A5:C5"/>
    <mergeCell ref="G16:H16"/>
    <mergeCell ref="A2:C2"/>
    <mergeCell ref="A6:C6"/>
    <mergeCell ref="A9:N9"/>
    <mergeCell ref="E16:F16"/>
    <mergeCell ref="I16:J16"/>
    <mergeCell ref="K16:L16"/>
    <mergeCell ref="M10:N10"/>
    <mergeCell ref="M16:N16"/>
    <mergeCell ref="K10:L10"/>
    <mergeCell ref="A21:H21"/>
    <mergeCell ref="M22:N22"/>
    <mergeCell ref="A16:D16"/>
    <mergeCell ref="I10:J10"/>
    <mergeCell ref="A15:D15"/>
    <mergeCell ref="G14:H15"/>
    <mergeCell ref="A17:B18"/>
    <mergeCell ref="E10:F10"/>
    <mergeCell ref="G10:H10"/>
    <mergeCell ref="A11:B11"/>
  </mergeCells>
  <printOptions horizontalCentered="1" verticalCentered="1"/>
  <pageMargins left="0.3937007874015748" right="0.3937007874015748" top="0.3937007874015748" bottom="0.3937007874015748" header="0.3937007874015748" footer="0.3937007874015748"/>
  <pageSetup fitToHeight="1" fitToWidth="1" horizontalDpi="600" verticalDpi="600" orientation="landscape" paperSize="9" scale="91"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dimension ref="A1:Q184"/>
  <sheetViews>
    <sheetView zoomScalePageLayoutView="0" workbookViewId="0" topLeftCell="A7">
      <selection activeCell="G13" sqref="G13:H14"/>
    </sheetView>
  </sheetViews>
  <sheetFormatPr defaultColWidth="7.8515625" defaultRowHeight="12.75"/>
  <cols>
    <col min="1" max="2" width="10.28125" style="20" customWidth="1"/>
    <col min="3" max="4" width="9.7109375" style="20" customWidth="1"/>
    <col min="5" max="12" width="7.7109375" style="20" customWidth="1"/>
    <col min="13" max="14" width="7.7109375" style="6" customWidth="1"/>
    <col min="15" max="16384" width="7.8515625" style="20" customWidth="1"/>
  </cols>
  <sheetData>
    <row r="1" spans="1:14" s="89" customFormat="1" ht="36" customHeight="1">
      <c r="A1" s="370" t="s">
        <v>78</v>
      </c>
      <c r="B1" s="370"/>
      <c r="C1" s="370"/>
      <c r="D1" s="370"/>
      <c r="E1" s="370"/>
      <c r="F1" s="370"/>
      <c r="G1" s="370"/>
      <c r="H1" s="370"/>
      <c r="I1" s="370"/>
      <c r="J1" s="370"/>
      <c r="K1" s="370"/>
      <c r="L1" s="370"/>
      <c r="M1" s="370"/>
      <c r="N1" s="370"/>
    </row>
    <row r="2" spans="1:14" ht="18" customHeight="1">
      <c r="A2" s="348" t="s">
        <v>75</v>
      </c>
      <c r="B2" s="348"/>
      <c r="C2" s="348"/>
      <c r="D2" s="102">
        <f>'Base data'!B20</f>
        <v>41007</v>
      </c>
      <c r="E2" s="388" t="s">
        <v>76</v>
      </c>
      <c r="F2" s="388"/>
      <c r="G2" s="388"/>
      <c r="H2" s="388"/>
      <c r="I2" s="388"/>
      <c r="J2" s="388"/>
      <c r="M2" s="20"/>
      <c r="N2" s="20"/>
    </row>
    <row r="3" spans="1:14" ht="18" customHeight="1">
      <c r="A3" s="348" t="s">
        <v>54</v>
      </c>
      <c r="B3" s="348"/>
      <c r="C3" s="348"/>
      <c r="D3" s="102">
        <f>'Base data'!B23-1</f>
        <v>41090</v>
      </c>
      <c r="E3" s="388"/>
      <c r="F3" s="388"/>
      <c r="G3" s="388"/>
      <c r="H3" s="388"/>
      <c r="I3" s="388"/>
      <c r="J3" s="388"/>
      <c r="M3" s="20"/>
      <c r="N3" s="20"/>
    </row>
    <row r="4" spans="1:14" ht="18" customHeight="1">
      <c r="A4" s="348" t="s">
        <v>55</v>
      </c>
      <c r="B4" s="348"/>
      <c r="C4" s="348"/>
      <c r="D4" s="103">
        <f>'Base data'!C19</f>
        <v>84</v>
      </c>
      <c r="E4" s="388"/>
      <c r="F4" s="388"/>
      <c r="G4" s="388"/>
      <c r="H4" s="388"/>
      <c r="I4" s="388"/>
      <c r="J4" s="388"/>
      <c r="M4" s="20"/>
      <c r="N4" s="20"/>
    </row>
    <row r="5" spans="1:14" ht="18" customHeight="1">
      <c r="A5" s="348" t="s">
        <v>56</v>
      </c>
      <c r="B5" s="348"/>
      <c r="C5" s="348"/>
      <c r="D5" s="104">
        <f>'Base data'!C20</f>
        <v>12</v>
      </c>
      <c r="E5" s="388"/>
      <c r="F5" s="388"/>
      <c r="G5" s="388"/>
      <c r="H5" s="388"/>
      <c r="I5" s="388"/>
      <c r="J5" s="388"/>
      <c r="M5" s="20"/>
      <c r="N5" s="20"/>
    </row>
    <row r="6" spans="1:14" ht="18" customHeight="1">
      <c r="A6" s="348" t="s">
        <v>58</v>
      </c>
      <c r="B6" s="348"/>
      <c r="C6" s="348"/>
      <c r="D6" s="105">
        <f>'Base data'!B10</f>
        <v>151.875</v>
      </c>
      <c r="E6" s="388"/>
      <c r="F6" s="388"/>
      <c r="G6" s="388"/>
      <c r="H6" s="388"/>
      <c r="I6" s="388"/>
      <c r="J6" s="388"/>
      <c r="M6" s="20"/>
      <c r="N6" s="20"/>
    </row>
    <row r="7" spans="1:14" ht="27" customHeight="1">
      <c r="A7" s="352" t="s">
        <v>66</v>
      </c>
      <c r="B7" s="352"/>
      <c r="C7" s="352"/>
      <c r="D7" s="352"/>
      <c r="E7" s="352"/>
      <c r="F7" s="352"/>
      <c r="G7" s="352"/>
      <c r="H7" s="352"/>
      <c r="I7" s="352"/>
      <c r="J7" s="352"/>
      <c r="K7" s="352"/>
      <c r="L7" s="352"/>
      <c r="M7" s="352"/>
      <c r="N7" s="352"/>
    </row>
    <row r="8" spans="1:14" ht="18" customHeight="1">
      <c r="A8" s="382" t="str">
        <f>A173</f>
        <v>Product requirements summary for this period of maintenance</v>
      </c>
      <c r="B8" s="383"/>
      <c r="C8" s="383"/>
      <c r="D8" s="383"/>
      <c r="E8" s="383"/>
      <c r="F8" s="384"/>
      <c r="G8" s="40"/>
      <c r="H8" s="40"/>
      <c r="I8" s="40"/>
      <c r="J8" s="40"/>
      <c r="K8" s="40"/>
      <c r="L8" s="40"/>
      <c r="M8" s="40"/>
      <c r="N8" s="40"/>
    </row>
    <row r="9" spans="1:14" s="169" customFormat="1" ht="43.5" customHeight="1">
      <c r="A9" s="166"/>
      <c r="B9" s="166"/>
      <c r="C9" s="395" t="str">
        <f>C174</f>
        <v>Feast</v>
      </c>
      <c r="D9" s="395"/>
      <c r="E9" s="396" t="str">
        <f aca="true" t="shared" si="0" ref="E9:M9">E174</f>
        <v>Daily Essentials3</v>
      </c>
      <c r="F9" s="396"/>
      <c r="G9" s="393" t="str">
        <f t="shared" si="0"/>
        <v>Calcivet</v>
      </c>
      <c r="H9" s="393"/>
      <c r="I9" s="394" t="str">
        <f t="shared" si="0"/>
        <v>ProBoost SuperMax</v>
      </c>
      <c r="J9" s="397"/>
      <c r="K9" s="393" t="str">
        <f t="shared" si="0"/>
        <v>Potent Brew</v>
      </c>
      <c r="L9" s="393"/>
      <c r="M9" s="394" t="str">
        <f t="shared" si="0"/>
        <v>Aviclens</v>
      </c>
      <c r="N9" s="394"/>
    </row>
    <row r="10" spans="1:14" ht="18" customHeight="1">
      <c r="A10" s="40"/>
      <c r="B10" s="40"/>
      <c r="C10" s="171">
        <f>C175</f>
        <v>2325.5859375</v>
      </c>
      <c r="D10" s="172" t="str">
        <f aca="true" t="shared" si="1" ref="D10:N10">D175</f>
        <v>grams</v>
      </c>
      <c r="E10" s="173">
        <f t="shared" si="1"/>
        <v>191.36226079717397</v>
      </c>
      <c r="F10" s="174" t="str">
        <f t="shared" si="1"/>
        <v>grams</v>
      </c>
      <c r="G10" s="171">
        <f t="shared" si="1"/>
        <v>12.210750000000003</v>
      </c>
      <c r="H10" s="172" t="str">
        <f t="shared" si="1"/>
        <v>mls</v>
      </c>
      <c r="I10" s="176">
        <f t="shared" si="1"/>
        <v>172.7578125</v>
      </c>
      <c r="J10" s="177" t="str">
        <f t="shared" si="1"/>
        <v>grams</v>
      </c>
      <c r="K10" s="171">
        <f t="shared" si="1"/>
        <v>24.4215</v>
      </c>
      <c r="L10" s="172" t="str">
        <f t="shared" si="1"/>
        <v>mls</v>
      </c>
      <c r="M10" s="173">
        <f t="shared" si="1"/>
        <v>84</v>
      </c>
      <c r="N10" s="174" t="str">
        <f t="shared" si="1"/>
        <v>mls</v>
      </c>
    </row>
    <row r="11" spans="3:12" s="170" customFormat="1" ht="34.5" customHeight="1">
      <c r="C11" s="393" t="str">
        <f>C176</f>
        <v>Flourish</v>
      </c>
      <c r="D11" s="393"/>
      <c r="E11" s="394" t="str">
        <f>E176</f>
        <v>BirdPark Essentials</v>
      </c>
      <c r="F11" s="394"/>
      <c r="G11" s="376" t="s">
        <v>262</v>
      </c>
      <c r="H11" s="377"/>
      <c r="K11" s="393" t="str">
        <f>K176</f>
        <v>BioPlus</v>
      </c>
      <c r="L11" s="393"/>
    </row>
    <row r="12" spans="1:14" ht="18" customHeight="1">
      <c r="A12" s="40"/>
      <c r="B12" s="40"/>
      <c r="C12" s="175">
        <f>C177</f>
        <v>95.681130398587</v>
      </c>
      <c r="D12" s="172" t="str">
        <f>D177</f>
        <v>grams</v>
      </c>
      <c r="E12" s="173">
        <f>E177</f>
        <v>34.17183228520964</v>
      </c>
      <c r="F12" s="174" t="str">
        <f>F177</f>
        <v>grams</v>
      </c>
      <c r="G12" s="242">
        <f>G177</f>
        <v>6.105375000000001</v>
      </c>
      <c r="H12" s="241" t="s">
        <v>4</v>
      </c>
      <c r="I12" s="40"/>
      <c r="J12" s="40"/>
      <c r="K12" s="171">
        <f>K177</f>
        <v>24.4215</v>
      </c>
      <c r="L12" s="172" t="str">
        <f>L177</f>
        <v>grams</v>
      </c>
      <c r="M12" s="40"/>
      <c r="N12" s="40"/>
    </row>
    <row r="13" spans="1:14" ht="22.5" customHeight="1">
      <c r="A13" s="40"/>
      <c r="B13" s="40"/>
      <c r="C13" s="238"/>
      <c r="D13" s="239"/>
      <c r="E13" s="238"/>
      <c r="F13" s="239"/>
      <c r="G13" s="393" t="str">
        <f>G178</f>
        <v>Double this for greys and eclectus</v>
      </c>
      <c r="H13" s="393"/>
      <c r="I13" s="40"/>
      <c r="J13" s="40"/>
      <c r="K13" s="240"/>
      <c r="L13" s="239"/>
      <c r="M13" s="40"/>
      <c r="N13" s="40"/>
    </row>
    <row r="14" spans="1:14" ht="22.5" customHeight="1">
      <c r="A14" s="40"/>
      <c r="B14" s="40"/>
      <c r="C14" s="238"/>
      <c r="D14" s="239"/>
      <c r="E14" s="238"/>
      <c r="F14" s="239"/>
      <c r="G14" s="393"/>
      <c r="H14" s="393"/>
      <c r="I14" s="40"/>
      <c r="J14" s="40"/>
      <c r="K14" s="240"/>
      <c r="L14" s="239"/>
      <c r="M14" s="40"/>
      <c r="N14" s="40"/>
    </row>
    <row r="15" spans="1:14" ht="18" customHeight="1">
      <c r="A15" s="40"/>
      <c r="B15" s="40"/>
      <c r="C15" s="40"/>
      <c r="D15" s="40"/>
      <c r="E15" s="40"/>
      <c r="F15" s="40"/>
      <c r="G15" s="40"/>
      <c r="H15" s="40"/>
      <c r="I15" s="40"/>
      <c r="J15" s="40"/>
      <c r="K15" s="40"/>
      <c r="L15" s="40"/>
      <c r="M15" s="40"/>
      <c r="N15" s="40"/>
    </row>
    <row r="16" spans="1:14" ht="18" customHeight="1">
      <c r="A16" s="352" t="s">
        <v>60</v>
      </c>
      <c r="B16" s="352"/>
      <c r="C16" s="352"/>
      <c r="D16" s="352"/>
      <c r="E16" s="352"/>
      <c r="F16" s="352"/>
      <c r="G16" s="352"/>
      <c r="H16" s="352"/>
      <c r="I16" s="352"/>
      <c r="J16" s="352"/>
      <c r="K16" s="352"/>
      <c r="L16" s="352"/>
      <c r="M16" s="352"/>
      <c r="N16" s="352"/>
    </row>
    <row r="17" spans="1:14" ht="18" customHeight="1">
      <c r="A17" s="385" t="s">
        <v>77</v>
      </c>
      <c r="B17" s="385"/>
      <c r="C17" s="144">
        <f>D2</f>
        <v>41007</v>
      </c>
      <c r="D17" s="143">
        <v>1</v>
      </c>
      <c r="E17" s="40"/>
      <c r="F17" s="40"/>
      <c r="G17" s="40"/>
      <c r="H17" s="40"/>
      <c r="I17" s="40"/>
      <c r="J17" s="40"/>
      <c r="K17" s="40"/>
      <c r="L17" s="40"/>
      <c r="M17" s="40"/>
      <c r="N17" s="40"/>
    </row>
    <row r="18" spans="1:14" ht="19.5" customHeight="1">
      <c r="A18" s="349" t="s">
        <v>35</v>
      </c>
      <c r="B18" s="349"/>
      <c r="C18" s="349"/>
      <c r="D18" s="349"/>
      <c r="E18" s="349"/>
      <c r="F18" s="349"/>
      <c r="G18" s="349"/>
      <c r="H18" s="349"/>
      <c r="I18" s="349"/>
      <c r="J18" s="349"/>
      <c r="K18" s="349"/>
      <c r="L18" s="349"/>
      <c r="M18" s="349"/>
      <c r="N18" s="349"/>
    </row>
    <row r="19" spans="1:17" s="5" customFormat="1" ht="78" customHeight="1">
      <c r="A19" s="351" t="s">
        <v>36</v>
      </c>
      <c r="B19" s="351"/>
      <c r="C19" s="351"/>
      <c r="D19" s="351"/>
      <c r="E19" s="344" t="s">
        <v>37</v>
      </c>
      <c r="F19" s="344"/>
      <c r="G19" s="345" t="s">
        <v>264</v>
      </c>
      <c r="H19" s="346"/>
      <c r="I19" s="336" t="s">
        <v>71</v>
      </c>
      <c r="J19" s="337"/>
      <c r="K19" s="345" t="s">
        <v>80</v>
      </c>
      <c r="L19" s="346"/>
      <c r="M19" s="336" t="s">
        <v>255</v>
      </c>
      <c r="N19" s="337"/>
      <c r="O19" s="110"/>
      <c r="P19" s="111"/>
      <c r="Q19" s="20"/>
    </row>
    <row r="20" spans="1:17" s="5" customFormat="1" ht="12.75">
      <c r="A20" s="386"/>
      <c r="B20" s="387"/>
      <c r="C20" s="32">
        <f>'First maintenance'!C11</f>
        <v>18.984375</v>
      </c>
      <c r="D20" s="33" t="s">
        <v>4</v>
      </c>
      <c r="E20" s="113">
        <f>D6*4000/266667</f>
        <v>2.2781221523473096</v>
      </c>
      <c r="F20" s="7" t="s">
        <v>4</v>
      </c>
      <c r="G20" s="30">
        <f>D6*0.0067</f>
        <v>1.0175625</v>
      </c>
      <c r="H20" s="31" t="s">
        <v>5</v>
      </c>
      <c r="I20" s="113">
        <f>0+('Breeding season'!I$11/'Lead-up period'!D$5)</f>
        <v>0.31640625</v>
      </c>
      <c r="J20" s="7" t="s">
        <v>4</v>
      </c>
      <c r="K20" s="30">
        <f>D6*0.0067</f>
        <v>1.0175625</v>
      </c>
      <c r="L20" s="106" t="s">
        <v>5</v>
      </c>
      <c r="M20" s="37">
        <f>'Base data'!B8*0.5/1000</f>
        <v>1</v>
      </c>
      <c r="N20" s="34" t="s">
        <v>5</v>
      </c>
      <c r="O20" s="107"/>
      <c r="P20" s="19"/>
      <c r="Q20" s="20"/>
    </row>
    <row r="21" spans="1:17" s="5" customFormat="1" ht="12.75">
      <c r="A21" s="115"/>
      <c r="B21" s="115"/>
      <c r="C21" s="231">
        <f>C20/3.7</f>
        <v>5.130912162162162</v>
      </c>
      <c r="D21" s="367" t="s">
        <v>258</v>
      </c>
      <c r="E21" s="8">
        <f>E20/3.5</f>
        <v>0.6508920435278027</v>
      </c>
      <c r="F21" s="7" t="s">
        <v>15</v>
      </c>
      <c r="G21" s="30">
        <f>G20/5</f>
        <v>0.20351249999999999</v>
      </c>
      <c r="H21" s="31" t="s">
        <v>15</v>
      </c>
      <c r="I21" s="8">
        <f>I20/2.5</f>
        <v>0.1265625</v>
      </c>
      <c r="J21" s="7" t="s">
        <v>15</v>
      </c>
      <c r="K21" s="30">
        <f>K20/5</f>
        <v>0.20351249999999999</v>
      </c>
      <c r="L21" s="31" t="s">
        <v>15</v>
      </c>
      <c r="M21" s="8">
        <f>M20/5</f>
        <v>0.2</v>
      </c>
      <c r="N21" s="7" t="s">
        <v>15</v>
      </c>
      <c r="O21" s="107"/>
      <c r="P21" s="19"/>
      <c r="Q21" s="20"/>
    </row>
    <row r="22" spans="1:17" s="5" customFormat="1" ht="12.75">
      <c r="A22" s="87"/>
      <c r="B22" s="87"/>
      <c r="C22" s="232"/>
      <c r="D22" s="367"/>
      <c r="E22" s="112">
        <f>E20/0.25</f>
        <v>9.112488609389239</v>
      </c>
      <c r="F22" s="7" t="s">
        <v>62</v>
      </c>
      <c r="G22" s="32">
        <f>G20*30</f>
        <v>30.526874999999997</v>
      </c>
      <c r="H22" s="31" t="s">
        <v>61</v>
      </c>
      <c r="I22" s="112">
        <f>I20/0.2</f>
        <v>1.58203125</v>
      </c>
      <c r="J22" s="7" t="s">
        <v>62</v>
      </c>
      <c r="K22" s="32">
        <f>K20*30</f>
        <v>30.526874999999997</v>
      </c>
      <c r="L22" s="106" t="s">
        <v>61</v>
      </c>
      <c r="M22" s="8">
        <f>M20*30</f>
        <v>30</v>
      </c>
      <c r="N22" s="7" t="s">
        <v>61</v>
      </c>
      <c r="O22" s="18"/>
      <c r="P22" s="19"/>
      <c r="Q22" s="20"/>
    </row>
    <row r="23" spans="1:13" s="21" customFormat="1" ht="12.75" customHeight="1">
      <c r="A23" s="87"/>
      <c r="B23" s="16"/>
      <c r="C23" s="16"/>
      <c r="D23" s="17"/>
      <c r="E23" s="18"/>
      <c r="F23" s="18"/>
      <c r="G23" s="339" t="s">
        <v>243</v>
      </c>
      <c r="H23" s="340"/>
      <c r="I23" s="109"/>
      <c r="J23" s="109"/>
      <c r="K23" s="109"/>
      <c r="L23" s="109"/>
      <c r="M23" s="109"/>
    </row>
    <row r="24" spans="1:17" s="5" customFormat="1" ht="22.5" customHeight="1">
      <c r="A24" s="338" t="s">
        <v>30</v>
      </c>
      <c r="B24" s="338"/>
      <c r="C24" s="338"/>
      <c r="D24" s="338"/>
      <c r="E24" s="41"/>
      <c r="F24" s="41"/>
      <c r="G24" s="341"/>
      <c r="H24" s="342"/>
      <c r="I24" s="41"/>
      <c r="J24" s="41"/>
      <c r="K24" s="41"/>
      <c r="L24" s="41"/>
      <c r="M24" s="41"/>
      <c r="N24" s="41"/>
      <c r="O24" s="21"/>
      <c r="P24" s="21"/>
      <c r="Q24" s="20"/>
    </row>
    <row r="25" spans="1:17" s="5" customFormat="1" ht="58.5" customHeight="1">
      <c r="A25" s="334" t="s">
        <v>38</v>
      </c>
      <c r="B25" s="334"/>
      <c r="C25" s="335"/>
      <c r="D25" s="335"/>
      <c r="E25" s="344" t="s">
        <v>20</v>
      </c>
      <c r="F25" s="344"/>
      <c r="G25" s="345" t="s">
        <v>262</v>
      </c>
      <c r="H25" s="346"/>
      <c r="I25" s="336" t="s">
        <v>17</v>
      </c>
      <c r="J25" s="337"/>
      <c r="K25" s="350" t="s">
        <v>18</v>
      </c>
      <c r="L25" s="350"/>
      <c r="M25" s="336" t="s">
        <v>254</v>
      </c>
      <c r="N25" s="337"/>
      <c r="O25" s="110"/>
      <c r="P25" s="111"/>
      <c r="Q25" s="20"/>
    </row>
    <row r="26" spans="1:17" s="5" customFormat="1" ht="15" customHeight="1">
      <c r="A26" s="343"/>
      <c r="B26" s="343"/>
      <c r="C26" s="30">
        <f>'First maintenance'!C17+('First maintenance'!C17/'Lead-up period'!D$5)</f>
        <v>0.6169914162607297</v>
      </c>
      <c r="D26" s="36" t="s">
        <v>4</v>
      </c>
      <c r="E26" s="8">
        <f>E20/5.6</f>
        <v>0.40680752720487673</v>
      </c>
      <c r="F26" s="7" t="s">
        <v>4</v>
      </c>
      <c r="G26" s="30">
        <f>G20/2</f>
        <v>0.50878125</v>
      </c>
      <c r="H26" s="106" t="s">
        <v>4</v>
      </c>
      <c r="I26" s="8">
        <f>I20</f>
        <v>0.31640625</v>
      </c>
      <c r="J26" s="7" t="s">
        <v>4</v>
      </c>
      <c r="K26" s="35">
        <f>K20</f>
        <v>1.0175625</v>
      </c>
      <c r="L26" s="33" t="s">
        <v>4</v>
      </c>
      <c r="M26" s="8">
        <f>M20</f>
        <v>1</v>
      </c>
      <c r="N26" s="34" t="s">
        <v>5</v>
      </c>
      <c r="O26" s="108"/>
      <c r="P26" s="17"/>
      <c r="Q26" s="20"/>
    </row>
    <row r="27" spans="1:17" s="5" customFormat="1" ht="15" customHeight="1">
      <c r="A27" s="335"/>
      <c r="B27" s="335"/>
      <c r="C27" s="35">
        <f>C26/3.5</f>
        <v>0.17628326178877993</v>
      </c>
      <c r="D27" s="33" t="s">
        <v>15</v>
      </c>
      <c r="E27" s="8">
        <f>E26/3.5</f>
        <v>0.11623072205853621</v>
      </c>
      <c r="F27" s="7" t="s">
        <v>15</v>
      </c>
      <c r="G27" s="30">
        <f>G20/2.5</f>
        <v>0.40702499999999997</v>
      </c>
      <c r="H27" s="117" t="s">
        <v>15</v>
      </c>
      <c r="I27" s="8">
        <f>I21</f>
        <v>0.1265625</v>
      </c>
      <c r="J27" s="7" t="s">
        <v>15</v>
      </c>
      <c r="K27" s="35">
        <f>K20/4</f>
        <v>0.254390625</v>
      </c>
      <c r="L27" s="33" t="s">
        <v>15</v>
      </c>
      <c r="M27" s="8">
        <f>M26/5</f>
        <v>0.2</v>
      </c>
      <c r="N27" s="7" t="s">
        <v>15</v>
      </c>
      <c r="O27" s="108"/>
      <c r="P27" s="17"/>
      <c r="Q27" s="20"/>
    </row>
    <row r="28" spans="1:17" s="5" customFormat="1" ht="12.75">
      <c r="A28" s="87"/>
      <c r="B28" s="87"/>
      <c r="C28" s="32">
        <f>C26/0.25</f>
        <v>2.467965665042919</v>
      </c>
      <c r="D28" s="106" t="s">
        <v>62</v>
      </c>
      <c r="E28" s="112">
        <f>E26/0.25</f>
        <v>1.627230108819507</v>
      </c>
      <c r="F28" s="7" t="s">
        <v>62</v>
      </c>
      <c r="G28" s="32">
        <f>G26*4</f>
        <v>2.035125</v>
      </c>
      <c r="H28" s="31" t="s">
        <v>62</v>
      </c>
      <c r="I28" s="112">
        <f>I22</f>
        <v>1.58203125</v>
      </c>
      <c r="J28" s="7" t="s">
        <v>62</v>
      </c>
      <c r="K28" s="32">
        <f>K26/0.25</f>
        <v>4.07025</v>
      </c>
      <c r="L28" s="106" t="s">
        <v>62</v>
      </c>
      <c r="M28" s="8">
        <f>M26*30</f>
        <v>30</v>
      </c>
      <c r="N28" s="7" t="s">
        <v>61</v>
      </c>
      <c r="O28" s="18"/>
      <c r="P28" s="19"/>
      <c r="Q28" s="20"/>
    </row>
    <row r="29" spans="1:16" ht="12.75">
      <c r="A29" s="87"/>
      <c r="B29" s="87"/>
      <c r="C29" s="127"/>
      <c r="D29" s="19"/>
      <c r="E29" s="127"/>
      <c r="F29" s="18"/>
      <c r="G29" s="127"/>
      <c r="H29" s="18"/>
      <c r="I29" s="127"/>
      <c r="J29" s="18"/>
      <c r="K29" s="127"/>
      <c r="L29" s="19"/>
      <c r="M29" s="18"/>
      <c r="N29" s="18"/>
      <c r="O29" s="18"/>
      <c r="P29" s="19"/>
    </row>
    <row r="30" spans="1:14" ht="18" customHeight="1">
      <c r="A30" s="385" t="s">
        <v>79</v>
      </c>
      <c r="B30" s="385"/>
      <c r="C30" s="144">
        <f>C17+7</f>
        <v>41014</v>
      </c>
      <c r="D30" s="143">
        <v>2</v>
      </c>
      <c r="E30" s="40"/>
      <c r="F30" s="40"/>
      <c r="G30" s="40"/>
      <c r="H30" s="40"/>
      <c r="I30" s="40"/>
      <c r="J30" s="40"/>
      <c r="K30" s="40"/>
      <c r="L30" s="40"/>
      <c r="M30" s="40"/>
      <c r="N30" s="40"/>
    </row>
    <row r="31" spans="1:14" ht="19.5" customHeight="1">
      <c r="A31" s="349" t="s">
        <v>35</v>
      </c>
      <c r="B31" s="349"/>
      <c r="C31" s="349"/>
      <c r="D31" s="349"/>
      <c r="E31" s="349"/>
      <c r="F31" s="349"/>
      <c r="G31" s="349"/>
      <c r="H31" s="349"/>
      <c r="I31" s="349"/>
      <c r="J31" s="349"/>
      <c r="K31" s="349"/>
      <c r="L31" s="349"/>
      <c r="M31" s="349"/>
      <c r="N31" s="349"/>
    </row>
    <row r="32" spans="1:17" s="5" customFormat="1" ht="67.5" customHeight="1">
      <c r="A32" s="351" t="s">
        <v>36</v>
      </c>
      <c r="B32" s="351"/>
      <c r="C32" s="351"/>
      <c r="D32" s="351"/>
      <c r="E32" s="344" t="s">
        <v>37</v>
      </c>
      <c r="F32" s="344"/>
      <c r="G32" s="345" t="s">
        <v>264</v>
      </c>
      <c r="H32" s="346"/>
      <c r="I32" s="336" t="s">
        <v>71</v>
      </c>
      <c r="J32" s="337"/>
      <c r="K32" s="345" t="s">
        <v>80</v>
      </c>
      <c r="L32" s="346"/>
      <c r="M32" s="336" t="s">
        <v>255</v>
      </c>
      <c r="N32" s="337"/>
      <c r="O32" s="110"/>
      <c r="P32" s="111"/>
      <c r="Q32" s="20"/>
    </row>
    <row r="33" spans="1:17" s="5" customFormat="1" ht="12.75">
      <c r="A33" s="347"/>
      <c r="B33" s="347"/>
      <c r="C33" s="32">
        <f>IF($D30&gt;$D$5,0,C20+(('Breeding season'!C$11-C$20)/D$5))</f>
        <v>20.56640625</v>
      </c>
      <c r="D33" s="33" t="s">
        <v>4</v>
      </c>
      <c r="E33" s="8">
        <f>IF($D30&gt;$D$5,0,E20)</f>
        <v>2.2781221523473096</v>
      </c>
      <c r="F33" s="7" t="s">
        <v>4</v>
      </c>
      <c r="G33" s="30">
        <f>IF($D30&gt;$D$5,0,G20)</f>
        <v>1.0175625</v>
      </c>
      <c r="H33" s="31" t="s">
        <v>5</v>
      </c>
      <c r="I33" s="8">
        <f>IF($D30&gt;$D$5,0,I20+('Breeding season'!I$11/'Lead-up period'!D$5))</f>
        <v>0.6328125</v>
      </c>
      <c r="J33" s="7" t="s">
        <v>4</v>
      </c>
      <c r="K33" s="30">
        <f>IF($D30&gt;$D$5,0,K20)</f>
        <v>1.0175625</v>
      </c>
      <c r="L33" s="106" t="s">
        <v>5</v>
      </c>
      <c r="M33" s="8">
        <f>IF($D30&gt;$D$5,0,M20)</f>
        <v>1</v>
      </c>
      <c r="N33" s="34" t="s">
        <v>5</v>
      </c>
      <c r="O33" s="107"/>
      <c r="P33" s="19"/>
      <c r="Q33" s="20"/>
    </row>
    <row r="34" spans="1:17" s="5" customFormat="1" ht="12.75">
      <c r="A34" s="115"/>
      <c r="B34" s="115"/>
      <c r="C34" s="231">
        <f>C33/3.7</f>
        <v>5.558488175675675</v>
      </c>
      <c r="D34" s="367" t="s">
        <v>258</v>
      </c>
      <c r="E34" s="8">
        <f>E33/3.5</f>
        <v>0.6508920435278027</v>
      </c>
      <c r="F34" s="7" t="s">
        <v>15</v>
      </c>
      <c r="G34" s="30">
        <f>G33/5</f>
        <v>0.20351249999999999</v>
      </c>
      <c r="H34" s="31" t="s">
        <v>15</v>
      </c>
      <c r="I34" s="8">
        <f>I33/2.5</f>
        <v>0.253125</v>
      </c>
      <c r="J34" s="7" t="s">
        <v>15</v>
      </c>
      <c r="K34" s="30">
        <f>K33/5</f>
        <v>0.20351249999999999</v>
      </c>
      <c r="L34" s="31" t="s">
        <v>15</v>
      </c>
      <c r="M34" s="8">
        <f>M33/5</f>
        <v>0.2</v>
      </c>
      <c r="N34" s="7" t="s">
        <v>15</v>
      </c>
      <c r="O34" s="107"/>
      <c r="P34" s="19"/>
      <c r="Q34" s="20"/>
    </row>
    <row r="35" spans="1:17" s="5" customFormat="1" ht="12.75">
      <c r="A35" s="87"/>
      <c r="B35" s="87"/>
      <c r="C35" s="232"/>
      <c r="D35" s="367"/>
      <c r="E35" s="112">
        <f>E33/0.25</f>
        <v>9.112488609389239</v>
      </c>
      <c r="F35" s="7" t="s">
        <v>62</v>
      </c>
      <c r="G35" s="32">
        <f>G33*30</f>
        <v>30.526874999999997</v>
      </c>
      <c r="H35" s="31" t="s">
        <v>61</v>
      </c>
      <c r="I35" s="112">
        <f>I33/0.2</f>
        <v>3.1640625</v>
      </c>
      <c r="J35" s="7" t="s">
        <v>62</v>
      </c>
      <c r="K35" s="32">
        <f>K33*30</f>
        <v>30.526874999999997</v>
      </c>
      <c r="L35" s="106" t="s">
        <v>61</v>
      </c>
      <c r="M35" s="8">
        <f>M33*30</f>
        <v>30</v>
      </c>
      <c r="N35" s="7" t="s">
        <v>61</v>
      </c>
      <c r="O35" s="18"/>
      <c r="P35" s="19"/>
      <c r="Q35" s="20"/>
    </row>
    <row r="36" spans="1:13" s="21" customFormat="1" ht="12.75" customHeight="1">
      <c r="A36" s="87"/>
      <c r="B36" s="16"/>
      <c r="C36" s="16"/>
      <c r="D36" s="17"/>
      <c r="E36" s="18"/>
      <c r="F36" s="18"/>
      <c r="G36" s="339" t="s">
        <v>243</v>
      </c>
      <c r="H36" s="340"/>
      <c r="I36" s="109"/>
      <c r="J36" s="109"/>
      <c r="K36" s="109"/>
      <c r="L36" s="109"/>
      <c r="M36" s="109"/>
    </row>
    <row r="37" spans="1:17" s="5" customFormat="1" ht="22.5" customHeight="1">
      <c r="A37" s="338" t="s">
        <v>30</v>
      </c>
      <c r="B37" s="338"/>
      <c r="C37" s="338"/>
      <c r="D37" s="338"/>
      <c r="E37" s="41"/>
      <c r="F37" s="41"/>
      <c r="G37" s="341"/>
      <c r="H37" s="342"/>
      <c r="I37" s="41"/>
      <c r="J37" s="41"/>
      <c r="K37" s="41"/>
      <c r="L37" s="41"/>
      <c r="M37" s="41"/>
      <c r="N37" s="41"/>
      <c r="O37" s="21"/>
      <c r="P37" s="21"/>
      <c r="Q37" s="20"/>
    </row>
    <row r="38" spans="1:17" s="5" customFormat="1" ht="58.5" customHeight="1">
      <c r="A38" s="334" t="s">
        <v>38</v>
      </c>
      <c r="B38" s="334"/>
      <c r="C38" s="335"/>
      <c r="D38" s="335"/>
      <c r="E38" s="344" t="s">
        <v>20</v>
      </c>
      <c r="F38" s="344"/>
      <c r="G38" s="345" t="s">
        <v>262</v>
      </c>
      <c r="H38" s="346"/>
      <c r="I38" s="336" t="s">
        <v>17</v>
      </c>
      <c r="J38" s="337"/>
      <c r="K38" s="350" t="s">
        <v>18</v>
      </c>
      <c r="L38" s="350"/>
      <c r="M38" s="336" t="s">
        <v>254</v>
      </c>
      <c r="N38" s="337"/>
      <c r="O38" s="110"/>
      <c r="P38" s="111"/>
      <c r="Q38" s="20"/>
    </row>
    <row r="39" spans="1:17" s="5" customFormat="1" ht="15" customHeight="1">
      <c r="A39" s="343"/>
      <c r="B39" s="343"/>
      <c r="C39" s="30">
        <f>IF($D30&gt;$D$5,0,(C26+('Breeding season'!C$17/'Lead-up period'!D$5)))</f>
        <v>0.7119131726085343</v>
      </c>
      <c r="D39" s="36" t="s">
        <v>4</v>
      </c>
      <c r="E39" s="8">
        <f>E33/5.6</f>
        <v>0.40680752720487673</v>
      </c>
      <c r="F39" s="7" t="s">
        <v>4</v>
      </c>
      <c r="G39" s="30">
        <f>G33/2</f>
        <v>0.50878125</v>
      </c>
      <c r="H39" s="106" t="s">
        <v>4</v>
      </c>
      <c r="I39" s="8">
        <f>I33</f>
        <v>0.6328125</v>
      </c>
      <c r="J39" s="7" t="s">
        <v>4</v>
      </c>
      <c r="K39" s="35">
        <f>K33</f>
        <v>1.0175625</v>
      </c>
      <c r="L39" s="33" t="s">
        <v>4</v>
      </c>
      <c r="M39" s="8">
        <f>M33</f>
        <v>1</v>
      </c>
      <c r="N39" s="34" t="s">
        <v>5</v>
      </c>
      <c r="O39" s="108"/>
      <c r="P39" s="17"/>
      <c r="Q39" s="20"/>
    </row>
    <row r="40" spans="1:17" s="5" customFormat="1" ht="15" customHeight="1">
      <c r="A40" s="335"/>
      <c r="B40" s="335"/>
      <c r="C40" s="35">
        <f>C39/3.5</f>
        <v>0.20340376360243836</v>
      </c>
      <c r="D40" s="33" t="s">
        <v>15</v>
      </c>
      <c r="E40" s="8">
        <f>E39/3.5</f>
        <v>0.11623072205853621</v>
      </c>
      <c r="F40" s="7" t="s">
        <v>15</v>
      </c>
      <c r="G40" s="30">
        <f>G33/2.5</f>
        <v>0.40702499999999997</v>
      </c>
      <c r="H40" s="117" t="s">
        <v>15</v>
      </c>
      <c r="I40" s="8">
        <f>I34</f>
        <v>0.253125</v>
      </c>
      <c r="J40" s="7" t="s">
        <v>15</v>
      </c>
      <c r="K40" s="35">
        <f>K33/4</f>
        <v>0.254390625</v>
      </c>
      <c r="L40" s="33" t="s">
        <v>15</v>
      </c>
      <c r="M40" s="8">
        <f>M39/5</f>
        <v>0.2</v>
      </c>
      <c r="N40" s="7" t="s">
        <v>15</v>
      </c>
      <c r="O40" s="108"/>
      <c r="P40" s="17"/>
      <c r="Q40" s="20"/>
    </row>
    <row r="41" spans="1:17" s="5" customFormat="1" ht="12.75">
      <c r="A41" s="87"/>
      <c r="B41" s="87"/>
      <c r="C41" s="32">
        <f>C39/0.25</f>
        <v>2.847652690434137</v>
      </c>
      <c r="D41" s="106" t="s">
        <v>62</v>
      </c>
      <c r="E41" s="112">
        <f>E39/0.25</f>
        <v>1.627230108819507</v>
      </c>
      <c r="F41" s="7" t="s">
        <v>62</v>
      </c>
      <c r="G41" s="32">
        <f>G39*4</f>
        <v>2.035125</v>
      </c>
      <c r="H41" s="31" t="s">
        <v>61</v>
      </c>
      <c r="I41" s="112">
        <f>I35</f>
        <v>3.1640625</v>
      </c>
      <c r="J41" s="7" t="s">
        <v>62</v>
      </c>
      <c r="K41" s="32">
        <f>K39/0.25</f>
        <v>4.07025</v>
      </c>
      <c r="L41" s="106" t="s">
        <v>62</v>
      </c>
      <c r="M41" s="8">
        <f>M39*30</f>
        <v>30</v>
      </c>
      <c r="N41" s="7" t="s">
        <v>61</v>
      </c>
      <c r="O41" s="18"/>
      <c r="P41" s="19"/>
      <c r="Q41" s="20"/>
    </row>
    <row r="42" spans="1:16" s="21" customFormat="1" ht="12.75">
      <c r="A42" s="87"/>
      <c r="B42" s="87"/>
      <c r="C42" s="128"/>
      <c r="D42" s="129"/>
      <c r="E42" s="128"/>
      <c r="F42" s="130"/>
      <c r="G42" s="128"/>
      <c r="H42" s="130"/>
      <c r="I42" s="127"/>
      <c r="J42" s="18"/>
      <c r="K42" s="127"/>
      <c r="L42" s="19"/>
      <c r="M42" s="18"/>
      <c r="N42" s="18"/>
      <c r="O42" s="18"/>
      <c r="P42" s="19"/>
    </row>
    <row r="43" spans="1:14" ht="18" customHeight="1">
      <c r="A43" s="385" t="s">
        <v>81</v>
      </c>
      <c r="B43" s="385"/>
      <c r="C43" s="144">
        <f>C30+7</f>
        <v>41021</v>
      </c>
      <c r="D43" s="143">
        <f>D30+1</f>
        <v>3</v>
      </c>
      <c r="E43" s="40"/>
      <c r="F43" s="40"/>
      <c r="G43" s="40"/>
      <c r="H43" s="40"/>
      <c r="I43" s="40"/>
      <c r="J43" s="40"/>
      <c r="K43" s="40"/>
      <c r="L43" s="40"/>
      <c r="M43" s="40"/>
      <c r="N43" s="40"/>
    </row>
    <row r="44" spans="1:14" ht="19.5" customHeight="1">
      <c r="A44" s="349" t="s">
        <v>35</v>
      </c>
      <c r="B44" s="349"/>
      <c r="C44" s="349"/>
      <c r="D44" s="349"/>
      <c r="E44" s="349"/>
      <c r="F44" s="349"/>
      <c r="G44" s="349"/>
      <c r="H44" s="349"/>
      <c r="I44" s="349"/>
      <c r="J44" s="349"/>
      <c r="K44" s="349"/>
      <c r="L44" s="349"/>
      <c r="M44" s="349"/>
      <c r="N44" s="349"/>
    </row>
    <row r="45" spans="1:17" s="5" customFormat="1" ht="66" customHeight="1">
      <c r="A45" s="351" t="s">
        <v>36</v>
      </c>
      <c r="B45" s="351"/>
      <c r="C45" s="351"/>
      <c r="D45" s="351"/>
      <c r="E45" s="344" t="s">
        <v>37</v>
      </c>
      <c r="F45" s="344"/>
      <c r="G45" s="345" t="s">
        <v>264</v>
      </c>
      <c r="H45" s="346"/>
      <c r="I45" s="336" t="s">
        <v>71</v>
      </c>
      <c r="J45" s="337"/>
      <c r="K45" s="345" t="s">
        <v>80</v>
      </c>
      <c r="L45" s="346"/>
      <c r="M45" s="336" t="s">
        <v>255</v>
      </c>
      <c r="N45" s="337"/>
      <c r="O45" s="110"/>
      <c r="P45" s="111"/>
      <c r="Q45" s="20"/>
    </row>
    <row r="46" spans="1:17" s="5" customFormat="1" ht="12.75">
      <c r="A46" s="347"/>
      <c r="B46" s="347"/>
      <c r="C46" s="32">
        <f>IF($D43&gt;$D$5,0,C33+(('Breeding season'!C$11-C$20)/D$5))</f>
        <v>22.1484375</v>
      </c>
      <c r="D46" s="33" t="s">
        <v>4</v>
      </c>
      <c r="E46" s="8">
        <f>IF($D43&gt;$D$5,0,E33)</f>
        <v>2.2781221523473096</v>
      </c>
      <c r="F46" s="7" t="s">
        <v>4</v>
      </c>
      <c r="G46" s="30">
        <f>IF($D43&gt;$D$5,0,G33)</f>
        <v>1.0175625</v>
      </c>
      <c r="H46" s="31" t="s">
        <v>5</v>
      </c>
      <c r="I46" s="8">
        <f>IF($D43&gt;$D$5,0,I33+('Breeding season'!I$11/'Lead-up period'!D$5))</f>
        <v>0.94921875</v>
      </c>
      <c r="J46" s="7" t="s">
        <v>4</v>
      </c>
      <c r="K46" s="30">
        <f>IF($D43&gt;$D$5,0,K33)</f>
        <v>1.0175625</v>
      </c>
      <c r="L46" s="106" t="s">
        <v>5</v>
      </c>
      <c r="M46" s="8">
        <f>IF($D43&gt;$D$5,0,M33)</f>
        <v>1</v>
      </c>
      <c r="N46" s="34" t="s">
        <v>5</v>
      </c>
      <c r="O46" s="107"/>
      <c r="P46" s="19"/>
      <c r="Q46" s="20"/>
    </row>
    <row r="47" spans="1:17" s="5" customFormat="1" ht="12.75">
      <c r="A47" s="115"/>
      <c r="B47" s="115"/>
      <c r="C47" s="231">
        <f>C46/3.7</f>
        <v>5.986064189189189</v>
      </c>
      <c r="D47" s="367" t="s">
        <v>258</v>
      </c>
      <c r="E47" s="8">
        <f>E46/3.5</f>
        <v>0.6508920435278027</v>
      </c>
      <c r="F47" s="7" t="s">
        <v>15</v>
      </c>
      <c r="G47" s="30">
        <f>G46/5</f>
        <v>0.20351249999999999</v>
      </c>
      <c r="H47" s="31" t="s">
        <v>15</v>
      </c>
      <c r="I47" s="8">
        <f>I46/2.5</f>
        <v>0.3796875</v>
      </c>
      <c r="J47" s="7" t="s">
        <v>15</v>
      </c>
      <c r="K47" s="30">
        <f>K46/5</f>
        <v>0.20351249999999999</v>
      </c>
      <c r="L47" s="31" t="s">
        <v>15</v>
      </c>
      <c r="M47" s="8">
        <f>M46/5</f>
        <v>0.2</v>
      </c>
      <c r="N47" s="7" t="s">
        <v>15</v>
      </c>
      <c r="O47" s="107"/>
      <c r="P47" s="19"/>
      <c r="Q47" s="20"/>
    </row>
    <row r="48" spans="1:17" s="5" customFormat="1" ht="12.75">
      <c r="A48" s="87"/>
      <c r="B48" s="87"/>
      <c r="C48" s="232"/>
      <c r="D48" s="367"/>
      <c r="E48" s="112">
        <f>E46/0.25</f>
        <v>9.112488609389239</v>
      </c>
      <c r="F48" s="7" t="s">
        <v>62</v>
      </c>
      <c r="G48" s="32">
        <f>G46*30</f>
        <v>30.526874999999997</v>
      </c>
      <c r="H48" s="31" t="s">
        <v>61</v>
      </c>
      <c r="I48" s="112">
        <f>I46/0.2</f>
        <v>4.74609375</v>
      </c>
      <c r="J48" s="7" t="s">
        <v>62</v>
      </c>
      <c r="K48" s="32">
        <f>K46*30</f>
        <v>30.526874999999997</v>
      </c>
      <c r="L48" s="106" t="s">
        <v>61</v>
      </c>
      <c r="M48" s="8">
        <f>M46*30</f>
        <v>30</v>
      </c>
      <c r="N48" s="7" t="s">
        <v>61</v>
      </c>
      <c r="O48" s="18"/>
      <c r="P48" s="19"/>
      <c r="Q48" s="20"/>
    </row>
    <row r="49" spans="1:13" s="21" customFormat="1" ht="12.75" customHeight="1">
      <c r="A49" s="87"/>
      <c r="B49" s="16"/>
      <c r="C49" s="16"/>
      <c r="D49" s="17"/>
      <c r="E49" s="18"/>
      <c r="F49" s="18"/>
      <c r="G49" s="339" t="s">
        <v>243</v>
      </c>
      <c r="H49" s="340"/>
      <c r="I49" s="109"/>
      <c r="J49" s="109"/>
      <c r="K49" s="109"/>
      <c r="L49" s="109"/>
      <c r="M49" s="109"/>
    </row>
    <row r="50" spans="1:17" s="5" customFormat="1" ht="22.5" customHeight="1">
      <c r="A50" s="338" t="s">
        <v>30</v>
      </c>
      <c r="B50" s="338"/>
      <c r="C50" s="338"/>
      <c r="D50" s="338"/>
      <c r="E50" s="41"/>
      <c r="F50" s="41"/>
      <c r="G50" s="341"/>
      <c r="H50" s="342"/>
      <c r="I50" s="41"/>
      <c r="J50" s="41"/>
      <c r="K50" s="41"/>
      <c r="L50" s="41"/>
      <c r="M50" s="41"/>
      <c r="N50" s="41"/>
      <c r="O50" s="21"/>
      <c r="P50" s="21"/>
      <c r="Q50" s="20"/>
    </row>
    <row r="51" spans="1:17" s="5" customFormat="1" ht="58.5" customHeight="1">
      <c r="A51" s="334" t="s">
        <v>38</v>
      </c>
      <c r="B51" s="334"/>
      <c r="C51" s="335"/>
      <c r="D51" s="335"/>
      <c r="E51" s="344" t="s">
        <v>20</v>
      </c>
      <c r="F51" s="344"/>
      <c r="G51" s="345" t="s">
        <v>262</v>
      </c>
      <c r="H51" s="346"/>
      <c r="I51" s="336" t="s">
        <v>17</v>
      </c>
      <c r="J51" s="337"/>
      <c r="K51" s="350" t="s">
        <v>18</v>
      </c>
      <c r="L51" s="350"/>
      <c r="M51" s="336" t="s">
        <v>254</v>
      </c>
      <c r="N51" s="337"/>
      <c r="O51" s="110"/>
      <c r="P51" s="111"/>
      <c r="Q51" s="20"/>
    </row>
    <row r="52" spans="1:17" s="5" customFormat="1" ht="15" customHeight="1">
      <c r="A52" s="343"/>
      <c r="B52" s="343"/>
      <c r="C52" s="30">
        <f>IF($D43&gt;$D$5,0,(C39+('Breeding season'!C$17/'Lead-up period'!D$5)))</f>
        <v>0.8068349289563388</v>
      </c>
      <c r="D52" s="36" t="s">
        <v>4</v>
      </c>
      <c r="E52" s="8">
        <f>E46/5.6</f>
        <v>0.40680752720487673</v>
      </c>
      <c r="F52" s="7" t="s">
        <v>4</v>
      </c>
      <c r="G52" s="30">
        <f>G46/2</f>
        <v>0.50878125</v>
      </c>
      <c r="H52" s="106" t="s">
        <v>4</v>
      </c>
      <c r="I52" s="8">
        <f>I46</f>
        <v>0.94921875</v>
      </c>
      <c r="J52" s="7" t="s">
        <v>4</v>
      </c>
      <c r="K52" s="35">
        <f>K46</f>
        <v>1.0175625</v>
      </c>
      <c r="L52" s="33" t="s">
        <v>4</v>
      </c>
      <c r="M52" s="8">
        <f>M46</f>
        <v>1</v>
      </c>
      <c r="N52" s="34" t="s">
        <v>5</v>
      </c>
      <c r="O52" s="108"/>
      <c r="P52" s="17"/>
      <c r="Q52" s="20"/>
    </row>
    <row r="53" spans="1:17" s="5" customFormat="1" ht="15" customHeight="1">
      <c r="A53" s="335"/>
      <c r="B53" s="335"/>
      <c r="C53" s="35">
        <f>C52/3.5</f>
        <v>0.2305242654160968</v>
      </c>
      <c r="D53" s="33" t="s">
        <v>15</v>
      </c>
      <c r="E53" s="8">
        <f>E52/3.5</f>
        <v>0.11623072205853621</v>
      </c>
      <c r="F53" s="7" t="s">
        <v>15</v>
      </c>
      <c r="G53" s="30">
        <f>G46/2.5</f>
        <v>0.40702499999999997</v>
      </c>
      <c r="H53" s="117" t="s">
        <v>15</v>
      </c>
      <c r="I53" s="8">
        <f>I47</f>
        <v>0.3796875</v>
      </c>
      <c r="J53" s="7" t="s">
        <v>15</v>
      </c>
      <c r="K53" s="35">
        <f>K46/4</f>
        <v>0.254390625</v>
      </c>
      <c r="L53" s="33" t="s">
        <v>15</v>
      </c>
      <c r="M53" s="8">
        <f>M52/5</f>
        <v>0.2</v>
      </c>
      <c r="N53" s="7" t="s">
        <v>15</v>
      </c>
      <c r="O53" s="108"/>
      <c r="P53" s="17"/>
      <c r="Q53" s="20"/>
    </row>
    <row r="54" spans="1:17" s="5" customFormat="1" ht="12.75">
      <c r="A54" s="87"/>
      <c r="B54" s="87"/>
      <c r="C54" s="32">
        <f>C52/0.25</f>
        <v>3.227339715825355</v>
      </c>
      <c r="D54" s="106" t="s">
        <v>62</v>
      </c>
      <c r="E54" s="112">
        <f>E52/0.25</f>
        <v>1.627230108819507</v>
      </c>
      <c r="F54" s="7" t="s">
        <v>62</v>
      </c>
      <c r="G54" s="32">
        <f>G52*4</f>
        <v>2.035125</v>
      </c>
      <c r="H54" s="31" t="s">
        <v>62</v>
      </c>
      <c r="I54" s="112">
        <f>I48</f>
        <v>4.74609375</v>
      </c>
      <c r="J54" s="7" t="s">
        <v>62</v>
      </c>
      <c r="K54" s="32">
        <f>K52/0.25</f>
        <v>4.07025</v>
      </c>
      <c r="L54" s="106" t="s">
        <v>62</v>
      </c>
      <c r="M54" s="8">
        <f>M52*30</f>
        <v>30</v>
      </c>
      <c r="N54" s="7" t="s">
        <v>61</v>
      </c>
      <c r="O54" s="18"/>
      <c r="P54" s="19"/>
      <c r="Q54" s="20"/>
    </row>
    <row r="55" spans="1:16" s="21" customFormat="1" ht="12.75">
      <c r="A55" s="87"/>
      <c r="B55" s="87"/>
      <c r="C55" s="128"/>
      <c r="D55" s="129"/>
      <c r="E55" s="128"/>
      <c r="F55" s="130"/>
      <c r="G55" s="128"/>
      <c r="H55" s="130"/>
      <c r="I55" s="127"/>
      <c r="J55" s="18"/>
      <c r="K55" s="127"/>
      <c r="L55" s="19"/>
      <c r="M55" s="18"/>
      <c r="N55" s="18"/>
      <c r="O55" s="18"/>
      <c r="P55" s="19"/>
    </row>
    <row r="56" spans="1:14" ht="18" customHeight="1">
      <c r="A56" s="385" t="s">
        <v>82</v>
      </c>
      <c r="B56" s="385"/>
      <c r="C56" s="144">
        <f>C43+7</f>
        <v>41028</v>
      </c>
      <c r="D56" s="143">
        <f>D43+1</f>
        <v>4</v>
      </c>
      <c r="E56" s="40"/>
      <c r="F56" s="40"/>
      <c r="G56" s="40"/>
      <c r="H56" s="40"/>
      <c r="I56" s="40"/>
      <c r="J56" s="40"/>
      <c r="K56" s="40"/>
      <c r="L56" s="40"/>
      <c r="M56" s="40"/>
      <c r="N56" s="40"/>
    </row>
    <row r="57" spans="1:14" ht="19.5" customHeight="1">
      <c r="A57" s="349" t="s">
        <v>35</v>
      </c>
      <c r="B57" s="349"/>
      <c r="C57" s="349"/>
      <c r="D57" s="349"/>
      <c r="E57" s="349"/>
      <c r="F57" s="349"/>
      <c r="G57" s="349"/>
      <c r="H57" s="349"/>
      <c r="I57" s="349"/>
      <c r="J57" s="349"/>
      <c r="K57" s="349"/>
      <c r="L57" s="349"/>
      <c r="M57" s="349"/>
      <c r="N57" s="349"/>
    </row>
    <row r="58" spans="1:17" s="5" customFormat="1" ht="67.5" customHeight="1">
      <c r="A58" s="351" t="s">
        <v>36</v>
      </c>
      <c r="B58" s="351"/>
      <c r="C58" s="351"/>
      <c r="D58" s="351"/>
      <c r="E58" s="344" t="s">
        <v>37</v>
      </c>
      <c r="F58" s="344"/>
      <c r="G58" s="345" t="s">
        <v>264</v>
      </c>
      <c r="H58" s="346"/>
      <c r="I58" s="336" t="s">
        <v>71</v>
      </c>
      <c r="J58" s="337"/>
      <c r="K58" s="345" t="s">
        <v>80</v>
      </c>
      <c r="L58" s="346"/>
      <c r="M58" s="336" t="s">
        <v>255</v>
      </c>
      <c r="N58" s="337"/>
      <c r="O58" s="110"/>
      <c r="P58" s="111"/>
      <c r="Q58" s="20"/>
    </row>
    <row r="59" spans="1:17" s="5" customFormat="1" ht="12.75">
      <c r="A59" s="347"/>
      <c r="B59" s="347"/>
      <c r="C59" s="32">
        <f>IF($D56&gt;$D$5,0,C46+(('Breeding season'!C$11-C$20)/D$5))</f>
        <v>23.73046875</v>
      </c>
      <c r="D59" s="33" t="s">
        <v>4</v>
      </c>
      <c r="E59" s="8">
        <f>IF($D56&gt;$D$5,0,E46)</f>
        <v>2.2781221523473096</v>
      </c>
      <c r="F59" s="7" t="s">
        <v>4</v>
      </c>
      <c r="G59" s="30">
        <f>IF($D56&gt;$D$5,0,G46)</f>
        <v>1.0175625</v>
      </c>
      <c r="H59" s="31" t="s">
        <v>5</v>
      </c>
      <c r="I59" s="8">
        <f>IF($D56&gt;$D$5,0,I46+('Breeding season'!I$11/'Lead-up period'!D$5))</f>
        <v>1.265625</v>
      </c>
      <c r="J59" s="7" t="s">
        <v>4</v>
      </c>
      <c r="K59" s="30">
        <f>IF($D56&gt;$D$5,0,K46)</f>
        <v>1.0175625</v>
      </c>
      <c r="L59" s="106" t="s">
        <v>5</v>
      </c>
      <c r="M59" s="8">
        <f>IF($D56&gt;$D$5,0,M46)</f>
        <v>1</v>
      </c>
      <c r="N59" s="34" t="s">
        <v>5</v>
      </c>
      <c r="O59" s="107"/>
      <c r="P59" s="19"/>
      <c r="Q59" s="20"/>
    </row>
    <row r="60" spans="1:17" s="5" customFormat="1" ht="12.75">
      <c r="A60" s="115"/>
      <c r="B60" s="115"/>
      <c r="C60" s="231">
        <f>C59/3.7</f>
        <v>6.413640202702703</v>
      </c>
      <c r="D60" s="367" t="s">
        <v>258</v>
      </c>
      <c r="E60" s="8">
        <f>E59/3.5</f>
        <v>0.6508920435278027</v>
      </c>
      <c r="F60" s="7" t="s">
        <v>15</v>
      </c>
      <c r="G60" s="30">
        <f>G59/5</f>
        <v>0.20351249999999999</v>
      </c>
      <c r="H60" s="31" t="s">
        <v>15</v>
      </c>
      <c r="I60" s="8">
        <f>I59/2.5</f>
        <v>0.50625</v>
      </c>
      <c r="J60" s="7" t="s">
        <v>15</v>
      </c>
      <c r="K60" s="30">
        <f>K59/5</f>
        <v>0.20351249999999999</v>
      </c>
      <c r="L60" s="31" t="s">
        <v>15</v>
      </c>
      <c r="M60" s="8">
        <f>M59/5</f>
        <v>0.2</v>
      </c>
      <c r="N60" s="7" t="s">
        <v>15</v>
      </c>
      <c r="O60" s="107"/>
      <c r="P60" s="19"/>
      <c r="Q60" s="20"/>
    </row>
    <row r="61" spans="1:17" s="5" customFormat="1" ht="12.75">
      <c r="A61" s="87"/>
      <c r="B61" s="87"/>
      <c r="C61" s="232"/>
      <c r="D61" s="367"/>
      <c r="E61" s="112">
        <f>E59/0.25</f>
        <v>9.112488609389239</v>
      </c>
      <c r="F61" s="7" t="s">
        <v>62</v>
      </c>
      <c r="G61" s="32">
        <f>G59*30</f>
        <v>30.526874999999997</v>
      </c>
      <c r="H61" s="31" t="s">
        <v>61</v>
      </c>
      <c r="I61" s="112">
        <f>I59/0.2</f>
        <v>6.328125</v>
      </c>
      <c r="J61" s="7" t="s">
        <v>62</v>
      </c>
      <c r="K61" s="32">
        <f>K59*30</f>
        <v>30.526874999999997</v>
      </c>
      <c r="L61" s="106" t="s">
        <v>61</v>
      </c>
      <c r="M61" s="8">
        <f>M59*30</f>
        <v>30</v>
      </c>
      <c r="N61" s="7" t="s">
        <v>61</v>
      </c>
      <c r="O61" s="18"/>
      <c r="P61" s="19"/>
      <c r="Q61" s="20"/>
    </row>
    <row r="62" spans="1:13" s="21" customFormat="1" ht="12.75" customHeight="1">
      <c r="A62" s="87"/>
      <c r="B62" s="16"/>
      <c r="C62" s="16"/>
      <c r="D62" s="17"/>
      <c r="E62" s="18"/>
      <c r="F62" s="18"/>
      <c r="G62" s="339" t="s">
        <v>243</v>
      </c>
      <c r="H62" s="340"/>
      <c r="I62" s="109"/>
      <c r="J62" s="109"/>
      <c r="K62" s="109"/>
      <c r="L62" s="109"/>
      <c r="M62" s="109"/>
    </row>
    <row r="63" spans="1:17" s="5" customFormat="1" ht="22.5" customHeight="1">
      <c r="A63" s="338" t="s">
        <v>30</v>
      </c>
      <c r="B63" s="338"/>
      <c r="C63" s="338"/>
      <c r="D63" s="338"/>
      <c r="E63" s="41"/>
      <c r="F63" s="41"/>
      <c r="G63" s="341"/>
      <c r="H63" s="342"/>
      <c r="I63" s="41"/>
      <c r="J63" s="41"/>
      <c r="K63" s="41"/>
      <c r="L63" s="41"/>
      <c r="M63" s="41"/>
      <c r="N63" s="41"/>
      <c r="O63" s="21"/>
      <c r="P63" s="21"/>
      <c r="Q63" s="20"/>
    </row>
    <row r="64" spans="1:17" s="5" customFormat="1" ht="58.5" customHeight="1">
      <c r="A64" s="334" t="s">
        <v>38</v>
      </c>
      <c r="B64" s="334"/>
      <c r="C64" s="335"/>
      <c r="D64" s="335"/>
      <c r="E64" s="344" t="s">
        <v>20</v>
      </c>
      <c r="F64" s="344"/>
      <c r="G64" s="345" t="s">
        <v>262</v>
      </c>
      <c r="H64" s="346"/>
      <c r="I64" s="336" t="s">
        <v>17</v>
      </c>
      <c r="J64" s="337"/>
      <c r="K64" s="350" t="s">
        <v>18</v>
      </c>
      <c r="L64" s="350"/>
      <c r="M64" s="336" t="s">
        <v>254</v>
      </c>
      <c r="N64" s="337"/>
      <c r="O64" s="110"/>
      <c r="P64" s="111"/>
      <c r="Q64" s="20"/>
    </row>
    <row r="65" spans="1:17" s="5" customFormat="1" ht="15" customHeight="1">
      <c r="A65" s="343"/>
      <c r="B65" s="343"/>
      <c r="C65" s="30">
        <f>IF($D56&gt;$D$5,0,(C52+('Breeding season'!C$17/'Lead-up period'!D$5)))</f>
        <v>0.9017566853041433</v>
      </c>
      <c r="D65" s="36" t="s">
        <v>4</v>
      </c>
      <c r="E65" s="8">
        <f>E59/5.6</f>
        <v>0.40680752720487673</v>
      </c>
      <c r="F65" s="7" t="s">
        <v>4</v>
      </c>
      <c r="G65" s="30">
        <f>G59/2</f>
        <v>0.50878125</v>
      </c>
      <c r="H65" s="106" t="s">
        <v>4</v>
      </c>
      <c r="I65" s="8">
        <f>I59</f>
        <v>1.265625</v>
      </c>
      <c r="J65" s="7" t="s">
        <v>4</v>
      </c>
      <c r="K65" s="35">
        <f>K59</f>
        <v>1.0175625</v>
      </c>
      <c r="L65" s="33" t="s">
        <v>4</v>
      </c>
      <c r="M65" s="8">
        <f>M59</f>
        <v>1</v>
      </c>
      <c r="N65" s="34" t="s">
        <v>5</v>
      </c>
      <c r="O65" s="108"/>
      <c r="P65" s="17"/>
      <c r="Q65" s="20"/>
    </row>
    <row r="66" spans="1:17" s="5" customFormat="1" ht="15" customHeight="1">
      <c r="A66" s="335"/>
      <c r="B66" s="335"/>
      <c r="C66" s="35">
        <f>C65/3.5</f>
        <v>0.2576447672297552</v>
      </c>
      <c r="D66" s="33" t="s">
        <v>15</v>
      </c>
      <c r="E66" s="8">
        <f>E65/3.5</f>
        <v>0.11623072205853621</v>
      </c>
      <c r="F66" s="7" t="s">
        <v>15</v>
      </c>
      <c r="G66" s="30">
        <f>G59/2.5</f>
        <v>0.40702499999999997</v>
      </c>
      <c r="H66" s="117" t="s">
        <v>15</v>
      </c>
      <c r="I66" s="8">
        <f>I60</f>
        <v>0.50625</v>
      </c>
      <c r="J66" s="7" t="s">
        <v>15</v>
      </c>
      <c r="K66" s="35">
        <f>K59/4</f>
        <v>0.254390625</v>
      </c>
      <c r="L66" s="33" t="s">
        <v>15</v>
      </c>
      <c r="M66" s="8">
        <f>M65/5</f>
        <v>0.2</v>
      </c>
      <c r="N66" s="7" t="s">
        <v>15</v>
      </c>
      <c r="O66" s="108"/>
      <c r="P66" s="17"/>
      <c r="Q66" s="20"/>
    </row>
    <row r="67" spans="1:17" s="5" customFormat="1" ht="12.75">
      <c r="A67" s="87"/>
      <c r="B67" s="87"/>
      <c r="C67" s="32">
        <f>C65/0.25</f>
        <v>3.6070267412165733</v>
      </c>
      <c r="D67" s="106" t="s">
        <v>62</v>
      </c>
      <c r="E67" s="112">
        <f>E65/0.25</f>
        <v>1.627230108819507</v>
      </c>
      <c r="F67" s="7" t="s">
        <v>62</v>
      </c>
      <c r="G67" s="32">
        <f>G65*4</f>
        <v>2.035125</v>
      </c>
      <c r="H67" s="31" t="s">
        <v>62</v>
      </c>
      <c r="I67" s="112">
        <f>I61</f>
        <v>6.328125</v>
      </c>
      <c r="J67" s="7" t="s">
        <v>62</v>
      </c>
      <c r="K67" s="32">
        <f>K65/0.25</f>
        <v>4.07025</v>
      </c>
      <c r="L67" s="106" t="s">
        <v>62</v>
      </c>
      <c r="M67" s="8">
        <f>M65*30</f>
        <v>30</v>
      </c>
      <c r="N67" s="7" t="s">
        <v>61</v>
      </c>
      <c r="O67" s="18"/>
      <c r="P67" s="19"/>
      <c r="Q67" s="20"/>
    </row>
    <row r="68" spans="1:16" ht="12.75">
      <c r="A68" s="87"/>
      <c r="B68" s="87"/>
      <c r="C68" s="127"/>
      <c r="D68" s="19"/>
      <c r="E68" s="127"/>
      <c r="F68" s="18"/>
      <c r="G68" s="127"/>
      <c r="H68" s="18"/>
      <c r="I68" s="127"/>
      <c r="J68" s="18"/>
      <c r="K68" s="127"/>
      <c r="L68" s="19"/>
      <c r="M68" s="18"/>
      <c r="N68" s="18"/>
      <c r="O68" s="18"/>
      <c r="P68" s="19"/>
    </row>
    <row r="69" spans="1:14" ht="18" customHeight="1">
      <c r="A69" s="385" t="s">
        <v>83</v>
      </c>
      <c r="B69" s="385"/>
      <c r="C69" s="144">
        <f>C56+7</f>
        <v>41035</v>
      </c>
      <c r="D69" s="143">
        <f>D56+1</f>
        <v>5</v>
      </c>
      <c r="E69" s="40"/>
      <c r="F69" s="40"/>
      <c r="G69" s="40"/>
      <c r="H69" s="40"/>
      <c r="I69" s="40"/>
      <c r="J69" s="40"/>
      <c r="K69" s="40"/>
      <c r="L69" s="40"/>
      <c r="M69" s="40"/>
      <c r="N69" s="40"/>
    </row>
    <row r="70" spans="1:14" ht="19.5" customHeight="1">
      <c r="A70" s="349" t="s">
        <v>35</v>
      </c>
      <c r="B70" s="349"/>
      <c r="C70" s="349"/>
      <c r="D70" s="349"/>
      <c r="E70" s="349"/>
      <c r="F70" s="349"/>
      <c r="G70" s="349"/>
      <c r="H70" s="349"/>
      <c r="I70" s="349"/>
      <c r="J70" s="349"/>
      <c r="K70" s="349"/>
      <c r="L70" s="349"/>
      <c r="M70" s="349"/>
      <c r="N70" s="349"/>
    </row>
    <row r="71" spans="1:17" s="5" customFormat="1" ht="66" customHeight="1">
      <c r="A71" s="351" t="s">
        <v>36</v>
      </c>
      <c r="B71" s="351"/>
      <c r="C71" s="351"/>
      <c r="D71" s="351"/>
      <c r="E71" s="344" t="s">
        <v>37</v>
      </c>
      <c r="F71" s="344"/>
      <c r="G71" s="345" t="s">
        <v>264</v>
      </c>
      <c r="H71" s="346"/>
      <c r="I71" s="336" t="s">
        <v>71</v>
      </c>
      <c r="J71" s="337"/>
      <c r="K71" s="345" t="s">
        <v>80</v>
      </c>
      <c r="L71" s="346"/>
      <c r="M71" s="336" t="s">
        <v>255</v>
      </c>
      <c r="N71" s="337"/>
      <c r="O71" s="110"/>
      <c r="P71" s="111"/>
      <c r="Q71" s="20"/>
    </row>
    <row r="72" spans="1:17" s="5" customFormat="1" ht="12.75">
      <c r="A72" s="347"/>
      <c r="B72" s="347"/>
      <c r="C72" s="32">
        <f>IF($D69&gt;$D$5,0,C59+(('Breeding season'!C$11-C$20)/D$5))</f>
        <v>25.3125</v>
      </c>
      <c r="D72" s="33" t="s">
        <v>4</v>
      </c>
      <c r="E72" s="8">
        <f>IF($D69&gt;$D$5,0,E59)</f>
        <v>2.2781221523473096</v>
      </c>
      <c r="F72" s="7" t="s">
        <v>4</v>
      </c>
      <c r="G72" s="30">
        <f>IF($D69&gt;$D$5,0,G59)</f>
        <v>1.0175625</v>
      </c>
      <c r="H72" s="31" t="s">
        <v>5</v>
      </c>
      <c r="I72" s="8">
        <f>IF($D69&gt;$D$5,0,I59+('Breeding season'!I$11/'Lead-up period'!D$5))</f>
        <v>1.58203125</v>
      </c>
      <c r="J72" s="7" t="s">
        <v>4</v>
      </c>
      <c r="K72" s="30">
        <f>IF($D69&gt;$D$5,0,K59)</f>
        <v>1.0175625</v>
      </c>
      <c r="L72" s="106" t="s">
        <v>5</v>
      </c>
      <c r="M72" s="8">
        <f>IF($D69&gt;$D$5,0,M59)</f>
        <v>1</v>
      </c>
      <c r="N72" s="34" t="s">
        <v>5</v>
      </c>
      <c r="O72" s="107"/>
      <c r="P72" s="19"/>
      <c r="Q72" s="20"/>
    </row>
    <row r="73" spans="1:17" s="5" customFormat="1" ht="12.75">
      <c r="A73" s="115"/>
      <c r="B73" s="115"/>
      <c r="C73" s="231">
        <f>C72/3.7</f>
        <v>6.841216216216216</v>
      </c>
      <c r="D73" s="367" t="s">
        <v>258</v>
      </c>
      <c r="E73" s="8">
        <f>E72/3.5</f>
        <v>0.6508920435278027</v>
      </c>
      <c r="F73" s="7" t="s">
        <v>15</v>
      </c>
      <c r="G73" s="30">
        <f>G72/5</f>
        <v>0.20351249999999999</v>
      </c>
      <c r="H73" s="31" t="s">
        <v>15</v>
      </c>
      <c r="I73" s="8">
        <f>I72/2.5</f>
        <v>0.6328125</v>
      </c>
      <c r="J73" s="7" t="s">
        <v>15</v>
      </c>
      <c r="K73" s="30">
        <f>K72/5</f>
        <v>0.20351249999999999</v>
      </c>
      <c r="L73" s="31" t="s">
        <v>15</v>
      </c>
      <c r="M73" s="8">
        <f>M72/5</f>
        <v>0.2</v>
      </c>
      <c r="N73" s="7" t="s">
        <v>15</v>
      </c>
      <c r="O73" s="107"/>
      <c r="P73" s="19"/>
      <c r="Q73" s="20"/>
    </row>
    <row r="74" spans="1:17" s="5" customFormat="1" ht="12.75">
      <c r="A74" s="87"/>
      <c r="B74" s="87"/>
      <c r="C74" s="232"/>
      <c r="D74" s="367"/>
      <c r="E74" s="112">
        <f>E72/0.25</f>
        <v>9.112488609389239</v>
      </c>
      <c r="F74" s="7" t="s">
        <v>62</v>
      </c>
      <c r="G74" s="32">
        <f>G72*30</f>
        <v>30.526874999999997</v>
      </c>
      <c r="H74" s="31" t="s">
        <v>61</v>
      </c>
      <c r="I74" s="112">
        <f>I72/0.2</f>
        <v>7.91015625</v>
      </c>
      <c r="J74" s="7" t="s">
        <v>62</v>
      </c>
      <c r="K74" s="32">
        <f>K72*30</f>
        <v>30.526874999999997</v>
      </c>
      <c r="L74" s="106" t="s">
        <v>61</v>
      </c>
      <c r="M74" s="8">
        <f>M72*30</f>
        <v>30</v>
      </c>
      <c r="N74" s="7" t="s">
        <v>61</v>
      </c>
      <c r="O74" s="18"/>
      <c r="P74" s="19"/>
      <c r="Q74" s="20"/>
    </row>
    <row r="75" spans="1:13" s="21" customFormat="1" ht="12.75" customHeight="1">
      <c r="A75" s="87"/>
      <c r="B75" s="16"/>
      <c r="C75" s="16"/>
      <c r="D75" s="17"/>
      <c r="E75" s="18"/>
      <c r="F75" s="18"/>
      <c r="G75" s="339" t="s">
        <v>243</v>
      </c>
      <c r="H75" s="340"/>
      <c r="I75" s="109"/>
      <c r="J75" s="109"/>
      <c r="K75" s="109"/>
      <c r="L75" s="109"/>
      <c r="M75" s="109"/>
    </row>
    <row r="76" spans="1:17" s="5" customFormat="1" ht="22.5" customHeight="1">
      <c r="A76" s="338" t="s">
        <v>30</v>
      </c>
      <c r="B76" s="338"/>
      <c r="C76" s="338"/>
      <c r="D76" s="338"/>
      <c r="E76" s="41"/>
      <c r="F76" s="41"/>
      <c r="G76" s="341"/>
      <c r="H76" s="342"/>
      <c r="I76" s="41"/>
      <c r="J76" s="41"/>
      <c r="K76" s="41"/>
      <c r="L76" s="41"/>
      <c r="M76" s="41"/>
      <c r="N76" s="41"/>
      <c r="O76" s="21"/>
      <c r="P76" s="21"/>
      <c r="Q76" s="20"/>
    </row>
    <row r="77" spans="1:17" s="5" customFormat="1" ht="58.5" customHeight="1">
      <c r="A77" s="334" t="s">
        <v>38</v>
      </c>
      <c r="B77" s="334"/>
      <c r="C77" s="335"/>
      <c r="D77" s="335"/>
      <c r="E77" s="344" t="s">
        <v>20</v>
      </c>
      <c r="F77" s="344"/>
      <c r="G77" s="345" t="s">
        <v>262</v>
      </c>
      <c r="H77" s="346"/>
      <c r="I77" s="336" t="s">
        <v>17</v>
      </c>
      <c r="J77" s="337"/>
      <c r="K77" s="350" t="s">
        <v>18</v>
      </c>
      <c r="L77" s="350"/>
      <c r="M77" s="336" t="s">
        <v>254</v>
      </c>
      <c r="N77" s="337"/>
      <c r="O77" s="110"/>
      <c r="P77" s="111"/>
      <c r="Q77" s="20"/>
    </row>
    <row r="78" spans="1:17" s="5" customFormat="1" ht="15" customHeight="1">
      <c r="A78" s="343"/>
      <c r="B78" s="343"/>
      <c r="C78" s="30">
        <f>IF($D69&gt;$D$5,0,(C65+('Breeding season'!C$17/'Lead-up period'!D$5)))</f>
        <v>0.9966784416519479</v>
      </c>
      <c r="D78" s="36" t="s">
        <v>4</v>
      </c>
      <c r="E78" s="8">
        <f>E72/5.6</f>
        <v>0.40680752720487673</v>
      </c>
      <c r="F78" s="7" t="s">
        <v>4</v>
      </c>
      <c r="G78" s="30">
        <f>G72/2</f>
        <v>0.50878125</v>
      </c>
      <c r="H78" s="106" t="s">
        <v>4</v>
      </c>
      <c r="I78" s="8">
        <f>I72</f>
        <v>1.58203125</v>
      </c>
      <c r="J78" s="7" t="s">
        <v>4</v>
      </c>
      <c r="K78" s="35">
        <f>K72</f>
        <v>1.0175625</v>
      </c>
      <c r="L78" s="33" t="s">
        <v>4</v>
      </c>
      <c r="M78" s="8">
        <f>M72</f>
        <v>1</v>
      </c>
      <c r="N78" s="34" t="s">
        <v>5</v>
      </c>
      <c r="O78" s="108"/>
      <c r="P78" s="17"/>
      <c r="Q78" s="20"/>
    </row>
    <row r="79" spans="1:17" s="5" customFormat="1" ht="15" customHeight="1">
      <c r="A79" s="335"/>
      <c r="B79" s="335"/>
      <c r="C79" s="35">
        <f>C78/3.5</f>
        <v>0.28476526904341365</v>
      </c>
      <c r="D79" s="33" t="s">
        <v>15</v>
      </c>
      <c r="E79" s="8">
        <f>E78/3.5</f>
        <v>0.11623072205853621</v>
      </c>
      <c r="F79" s="7" t="s">
        <v>15</v>
      </c>
      <c r="G79" s="30">
        <f>G72/2.5</f>
        <v>0.40702499999999997</v>
      </c>
      <c r="H79" s="117" t="s">
        <v>15</v>
      </c>
      <c r="I79" s="8">
        <f>I73</f>
        <v>0.6328125</v>
      </c>
      <c r="J79" s="7" t="s">
        <v>15</v>
      </c>
      <c r="K79" s="35">
        <f>K72/4</f>
        <v>0.254390625</v>
      </c>
      <c r="L79" s="33" t="s">
        <v>15</v>
      </c>
      <c r="M79" s="8">
        <f>M78/5</f>
        <v>0.2</v>
      </c>
      <c r="N79" s="7" t="s">
        <v>15</v>
      </c>
      <c r="O79" s="108"/>
      <c r="P79" s="17"/>
      <c r="Q79" s="20"/>
    </row>
    <row r="80" spans="1:17" s="5" customFormat="1" ht="12.75">
      <c r="A80" s="87"/>
      <c r="B80" s="87"/>
      <c r="C80" s="32">
        <f>C78/0.25</f>
        <v>3.9867137666077914</v>
      </c>
      <c r="D80" s="106" t="s">
        <v>62</v>
      </c>
      <c r="E80" s="112">
        <f>E78/0.25</f>
        <v>1.627230108819507</v>
      </c>
      <c r="F80" s="7" t="s">
        <v>62</v>
      </c>
      <c r="G80" s="32">
        <f>G78*4</f>
        <v>2.035125</v>
      </c>
      <c r="H80" s="31" t="s">
        <v>62</v>
      </c>
      <c r="I80" s="112">
        <f>I74</f>
        <v>7.91015625</v>
      </c>
      <c r="J80" s="7" t="s">
        <v>62</v>
      </c>
      <c r="K80" s="32">
        <f>K78/0.25</f>
        <v>4.07025</v>
      </c>
      <c r="L80" s="106" t="s">
        <v>62</v>
      </c>
      <c r="M80" s="8">
        <f>M78*30</f>
        <v>30</v>
      </c>
      <c r="N80" s="7" t="s">
        <v>61</v>
      </c>
      <c r="O80" s="18"/>
      <c r="P80" s="19"/>
      <c r="Q80" s="20"/>
    </row>
    <row r="81" spans="1:16" ht="12.75">
      <c r="A81" s="87"/>
      <c r="B81" s="87"/>
      <c r="C81" s="127"/>
      <c r="D81" s="19"/>
      <c r="E81" s="127"/>
      <c r="F81" s="18"/>
      <c r="G81" s="127"/>
      <c r="H81" s="18"/>
      <c r="I81" s="127"/>
      <c r="J81" s="18"/>
      <c r="K81" s="127"/>
      <c r="L81" s="19"/>
      <c r="M81" s="18"/>
      <c r="N81" s="18"/>
      <c r="O81" s="18"/>
      <c r="P81" s="19"/>
    </row>
    <row r="82" spans="1:14" ht="18" customHeight="1">
      <c r="A82" s="385" t="s">
        <v>84</v>
      </c>
      <c r="B82" s="385"/>
      <c r="C82" s="144">
        <f>C69+7</f>
        <v>41042</v>
      </c>
      <c r="D82" s="143">
        <f>D69+1</f>
        <v>6</v>
      </c>
      <c r="E82" s="40"/>
      <c r="F82" s="40"/>
      <c r="G82" s="40"/>
      <c r="H82" s="40"/>
      <c r="I82" s="40"/>
      <c r="J82" s="40"/>
      <c r="K82" s="40"/>
      <c r="L82" s="40"/>
      <c r="M82" s="40"/>
      <c r="N82" s="40"/>
    </row>
    <row r="83" spans="1:14" ht="19.5" customHeight="1">
      <c r="A83" s="349" t="s">
        <v>35</v>
      </c>
      <c r="B83" s="349"/>
      <c r="C83" s="349"/>
      <c r="D83" s="349"/>
      <c r="E83" s="349"/>
      <c r="F83" s="349"/>
      <c r="G83" s="349"/>
      <c r="H83" s="349"/>
      <c r="I83" s="349"/>
      <c r="J83" s="349"/>
      <c r="K83" s="349"/>
      <c r="L83" s="349"/>
      <c r="M83" s="349"/>
      <c r="N83" s="349"/>
    </row>
    <row r="84" spans="1:17" s="5" customFormat="1" ht="66" customHeight="1">
      <c r="A84" s="351" t="s">
        <v>36</v>
      </c>
      <c r="B84" s="351"/>
      <c r="C84" s="351"/>
      <c r="D84" s="351"/>
      <c r="E84" s="344" t="s">
        <v>37</v>
      </c>
      <c r="F84" s="344"/>
      <c r="G84" s="345" t="s">
        <v>264</v>
      </c>
      <c r="H84" s="346"/>
      <c r="I84" s="336" t="s">
        <v>71</v>
      </c>
      <c r="J84" s="337"/>
      <c r="K84" s="345" t="s">
        <v>80</v>
      </c>
      <c r="L84" s="346"/>
      <c r="M84" s="336" t="s">
        <v>255</v>
      </c>
      <c r="N84" s="337"/>
      <c r="O84" s="110"/>
      <c r="P84" s="111"/>
      <c r="Q84" s="20"/>
    </row>
    <row r="85" spans="1:17" s="5" customFormat="1" ht="12.75">
      <c r="A85" s="347"/>
      <c r="B85" s="347"/>
      <c r="C85" s="32">
        <f>IF($D82&gt;$D$5,0,C72+(('Breeding season'!C$11-C$20)/D$5))</f>
        <v>26.89453125</v>
      </c>
      <c r="D85" s="33" t="s">
        <v>4</v>
      </c>
      <c r="E85" s="8">
        <f>IF($D82&gt;$D$5,0,E72)</f>
        <v>2.2781221523473096</v>
      </c>
      <c r="F85" s="7" t="s">
        <v>4</v>
      </c>
      <c r="G85" s="30">
        <f>IF($D82&gt;$D$5,0,G72)</f>
        <v>1.0175625</v>
      </c>
      <c r="H85" s="31" t="s">
        <v>5</v>
      </c>
      <c r="I85" s="8">
        <f>IF($D82&gt;$D$5,0,I72+('Breeding season'!I$11/'Lead-up period'!D$5))</f>
        <v>1.8984375</v>
      </c>
      <c r="J85" s="7" t="s">
        <v>4</v>
      </c>
      <c r="K85" s="30">
        <f>IF($D82&gt;$D$5,0,K72)</f>
        <v>1.0175625</v>
      </c>
      <c r="L85" s="106" t="s">
        <v>5</v>
      </c>
      <c r="M85" s="8">
        <f>IF($D82&gt;$D$5,0,M72)</f>
        <v>1</v>
      </c>
      <c r="N85" s="34" t="s">
        <v>5</v>
      </c>
      <c r="O85" s="107"/>
      <c r="P85" s="19"/>
      <c r="Q85" s="20"/>
    </row>
    <row r="86" spans="1:17" s="5" customFormat="1" ht="12.75">
      <c r="A86" s="115"/>
      <c r="B86" s="115"/>
      <c r="C86" s="231">
        <f>C85/3.7</f>
        <v>7.268792229729729</v>
      </c>
      <c r="D86" s="367" t="s">
        <v>258</v>
      </c>
      <c r="E86" s="8">
        <f>E85/3.5</f>
        <v>0.6508920435278027</v>
      </c>
      <c r="F86" s="7" t="s">
        <v>15</v>
      </c>
      <c r="G86" s="30">
        <f>G85/5</f>
        <v>0.20351249999999999</v>
      </c>
      <c r="H86" s="31" t="s">
        <v>15</v>
      </c>
      <c r="I86" s="8">
        <f>I85/2.5</f>
        <v>0.759375</v>
      </c>
      <c r="J86" s="7" t="s">
        <v>15</v>
      </c>
      <c r="K86" s="30">
        <f>K85/5</f>
        <v>0.20351249999999999</v>
      </c>
      <c r="L86" s="31" t="s">
        <v>15</v>
      </c>
      <c r="M86" s="8">
        <f>M85/5</f>
        <v>0.2</v>
      </c>
      <c r="N86" s="7" t="s">
        <v>15</v>
      </c>
      <c r="O86" s="107"/>
      <c r="P86" s="19"/>
      <c r="Q86" s="20"/>
    </row>
    <row r="87" spans="1:17" s="5" customFormat="1" ht="12.75">
      <c r="A87" s="87"/>
      <c r="B87" s="87"/>
      <c r="C87" s="232"/>
      <c r="D87" s="367"/>
      <c r="E87" s="112">
        <f>E85/0.25</f>
        <v>9.112488609389239</v>
      </c>
      <c r="F87" s="7" t="s">
        <v>62</v>
      </c>
      <c r="G87" s="32">
        <f>G85*30</f>
        <v>30.526874999999997</v>
      </c>
      <c r="H87" s="31" t="s">
        <v>61</v>
      </c>
      <c r="I87" s="112">
        <f>I85/0.2</f>
        <v>9.4921875</v>
      </c>
      <c r="J87" s="7" t="s">
        <v>62</v>
      </c>
      <c r="K87" s="32">
        <f>K85*30</f>
        <v>30.526874999999997</v>
      </c>
      <c r="L87" s="106" t="s">
        <v>61</v>
      </c>
      <c r="M87" s="8">
        <f>M85*30</f>
        <v>30</v>
      </c>
      <c r="N87" s="7" t="s">
        <v>61</v>
      </c>
      <c r="O87" s="18"/>
      <c r="P87" s="19"/>
      <c r="Q87" s="20"/>
    </row>
    <row r="88" spans="1:13" s="21" customFormat="1" ht="12.75" customHeight="1">
      <c r="A88" s="87"/>
      <c r="B88" s="16"/>
      <c r="C88" s="16"/>
      <c r="D88" s="17"/>
      <c r="E88" s="18"/>
      <c r="F88" s="18"/>
      <c r="G88" s="339" t="s">
        <v>243</v>
      </c>
      <c r="H88" s="340"/>
      <c r="I88" s="109"/>
      <c r="J88" s="109"/>
      <c r="K88" s="109"/>
      <c r="L88" s="109"/>
      <c r="M88" s="109"/>
    </row>
    <row r="89" spans="1:17" s="5" customFormat="1" ht="22.5" customHeight="1">
      <c r="A89" s="338" t="s">
        <v>30</v>
      </c>
      <c r="B89" s="338"/>
      <c r="C89" s="338"/>
      <c r="D89" s="338"/>
      <c r="E89" s="41"/>
      <c r="F89" s="41"/>
      <c r="G89" s="341"/>
      <c r="H89" s="342"/>
      <c r="I89" s="41"/>
      <c r="J89" s="41"/>
      <c r="K89" s="41"/>
      <c r="L89" s="41"/>
      <c r="M89" s="41"/>
      <c r="N89" s="41"/>
      <c r="O89" s="21"/>
      <c r="P89" s="21"/>
      <c r="Q89" s="20"/>
    </row>
    <row r="90" spans="1:17" s="5" customFormat="1" ht="58.5" customHeight="1">
      <c r="A90" s="334" t="s">
        <v>38</v>
      </c>
      <c r="B90" s="334"/>
      <c r="C90" s="335"/>
      <c r="D90" s="335"/>
      <c r="E90" s="344" t="s">
        <v>20</v>
      </c>
      <c r="F90" s="344"/>
      <c r="G90" s="345" t="s">
        <v>262</v>
      </c>
      <c r="H90" s="346"/>
      <c r="I90" s="336" t="s">
        <v>17</v>
      </c>
      <c r="J90" s="337"/>
      <c r="K90" s="350" t="s">
        <v>18</v>
      </c>
      <c r="L90" s="350"/>
      <c r="M90" s="336" t="s">
        <v>254</v>
      </c>
      <c r="N90" s="337"/>
      <c r="O90" s="110"/>
      <c r="P90" s="111"/>
      <c r="Q90" s="20"/>
    </row>
    <row r="91" spans="1:17" s="5" customFormat="1" ht="15" customHeight="1">
      <c r="A91" s="343"/>
      <c r="B91" s="343"/>
      <c r="C91" s="30">
        <f>IF($D82&gt;$D$5,0,(C78+('Breeding season'!C$17/'Lead-up period'!D$5)))</f>
        <v>1.0916001979997525</v>
      </c>
      <c r="D91" s="36" t="s">
        <v>4</v>
      </c>
      <c r="E91" s="8">
        <f>E85/5.6</f>
        <v>0.40680752720487673</v>
      </c>
      <c r="F91" s="7" t="s">
        <v>4</v>
      </c>
      <c r="G91" s="30">
        <f>G85/2</f>
        <v>0.50878125</v>
      </c>
      <c r="H91" s="106" t="s">
        <v>4</v>
      </c>
      <c r="I91" s="8">
        <f>I85</f>
        <v>1.8984375</v>
      </c>
      <c r="J91" s="7" t="s">
        <v>4</v>
      </c>
      <c r="K91" s="35">
        <f>K85</f>
        <v>1.0175625</v>
      </c>
      <c r="L91" s="33" t="s">
        <v>4</v>
      </c>
      <c r="M91" s="8">
        <f>M85</f>
        <v>1</v>
      </c>
      <c r="N91" s="34" t="s">
        <v>5</v>
      </c>
      <c r="O91" s="108"/>
      <c r="P91" s="17"/>
      <c r="Q91" s="20"/>
    </row>
    <row r="92" spans="1:17" s="5" customFormat="1" ht="15" customHeight="1">
      <c r="A92" s="335"/>
      <c r="B92" s="335"/>
      <c r="C92" s="35">
        <f>C91/3.5</f>
        <v>0.31188577085707214</v>
      </c>
      <c r="D92" s="33" t="s">
        <v>15</v>
      </c>
      <c r="E92" s="8">
        <f>E91/3.5</f>
        <v>0.11623072205853621</v>
      </c>
      <c r="F92" s="7" t="s">
        <v>15</v>
      </c>
      <c r="G92" s="30">
        <f>G85/2.5</f>
        <v>0.40702499999999997</v>
      </c>
      <c r="H92" s="117" t="s">
        <v>15</v>
      </c>
      <c r="I92" s="8">
        <f>I86</f>
        <v>0.759375</v>
      </c>
      <c r="J92" s="7" t="s">
        <v>15</v>
      </c>
      <c r="K92" s="35">
        <f>K85/4</f>
        <v>0.254390625</v>
      </c>
      <c r="L92" s="33" t="s">
        <v>15</v>
      </c>
      <c r="M92" s="8">
        <f>M91/5</f>
        <v>0.2</v>
      </c>
      <c r="N92" s="7" t="s">
        <v>15</v>
      </c>
      <c r="O92" s="108"/>
      <c r="P92" s="17"/>
      <c r="Q92" s="20"/>
    </row>
    <row r="93" spans="1:17" s="5" customFormat="1" ht="12.75">
      <c r="A93" s="87"/>
      <c r="B93" s="87"/>
      <c r="C93" s="32">
        <f>C91/0.25</f>
        <v>4.36640079199901</v>
      </c>
      <c r="D93" s="106" t="s">
        <v>62</v>
      </c>
      <c r="E93" s="112">
        <f>E91/0.25</f>
        <v>1.627230108819507</v>
      </c>
      <c r="F93" s="7" t="s">
        <v>62</v>
      </c>
      <c r="G93" s="32">
        <f>G91*4</f>
        <v>2.035125</v>
      </c>
      <c r="H93" s="31" t="s">
        <v>62</v>
      </c>
      <c r="I93" s="112">
        <f>I87</f>
        <v>9.4921875</v>
      </c>
      <c r="J93" s="7" t="s">
        <v>62</v>
      </c>
      <c r="K93" s="32">
        <f>K91/0.25</f>
        <v>4.07025</v>
      </c>
      <c r="L93" s="106" t="s">
        <v>62</v>
      </c>
      <c r="M93" s="8">
        <f>M91*30</f>
        <v>30</v>
      </c>
      <c r="N93" s="7" t="s">
        <v>61</v>
      </c>
      <c r="O93" s="18"/>
      <c r="P93" s="19"/>
      <c r="Q93" s="20"/>
    </row>
    <row r="94" spans="1:16" ht="12.75">
      <c r="A94" s="87"/>
      <c r="B94" s="87"/>
      <c r="C94" s="127"/>
      <c r="D94" s="19"/>
      <c r="E94" s="127"/>
      <c r="F94" s="18"/>
      <c r="G94" s="127"/>
      <c r="H94" s="18"/>
      <c r="I94" s="127"/>
      <c r="J94" s="18"/>
      <c r="K94" s="127"/>
      <c r="L94" s="19"/>
      <c r="M94" s="18"/>
      <c r="N94" s="18"/>
      <c r="O94" s="18"/>
      <c r="P94" s="19"/>
    </row>
    <row r="95" spans="1:14" ht="18" customHeight="1">
      <c r="A95" s="385" t="s">
        <v>85</v>
      </c>
      <c r="B95" s="385"/>
      <c r="C95" s="144">
        <f>C82+7</f>
        <v>41049</v>
      </c>
      <c r="D95" s="143">
        <f>D82+1</f>
        <v>7</v>
      </c>
      <c r="E95" s="40"/>
      <c r="F95" s="40"/>
      <c r="G95" s="40"/>
      <c r="H95" s="40"/>
      <c r="I95" s="40"/>
      <c r="J95" s="40"/>
      <c r="K95" s="40"/>
      <c r="L95" s="40"/>
      <c r="M95" s="40"/>
      <c r="N95" s="40"/>
    </row>
    <row r="96" spans="1:14" ht="19.5" customHeight="1">
      <c r="A96" s="349" t="s">
        <v>35</v>
      </c>
      <c r="B96" s="349"/>
      <c r="C96" s="349"/>
      <c r="D96" s="349"/>
      <c r="E96" s="349"/>
      <c r="F96" s="349"/>
      <c r="G96" s="349"/>
      <c r="H96" s="349"/>
      <c r="I96" s="349"/>
      <c r="J96" s="349"/>
      <c r="K96" s="349"/>
      <c r="L96" s="349"/>
      <c r="M96" s="349"/>
      <c r="N96" s="349"/>
    </row>
    <row r="97" spans="1:17" s="5" customFormat="1" ht="78.75" customHeight="1">
      <c r="A97" s="351" t="s">
        <v>36</v>
      </c>
      <c r="B97" s="351"/>
      <c r="C97" s="351"/>
      <c r="D97" s="351"/>
      <c r="E97" s="344" t="s">
        <v>37</v>
      </c>
      <c r="F97" s="344"/>
      <c r="G97" s="345" t="s">
        <v>264</v>
      </c>
      <c r="H97" s="346"/>
      <c r="I97" s="336" t="s">
        <v>71</v>
      </c>
      <c r="J97" s="337"/>
      <c r="K97" s="345" t="s">
        <v>80</v>
      </c>
      <c r="L97" s="346"/>
      <c r="M97" s="336" t="s">
        <v>255</v>
      </c>
      <c r="N97" s="337"/>
      <c r="O97" s="110"/>
      <c r="P97" s="111"/>
      <c r="Q97" s="20"/>
    </row>
    <row r="98" spans="1:17" s="5" customFormat="1" ht="12.75">
      <c r="A98" s="347"/>
      <c r="B98" s="347"/>
      <c r="C98" s="32">
        <f>IF($D95&gt;$D$5,0,C85+(('Breeding season'!C$11-C$20)/D$5))</f>
        <v>28.4765625</v>
      </c>
      <c r="D98" s="33" t="s">
        <v>4</v>
      </c>
      <c r="E98" s="8">
        <f>IF($D95&gt;$D$5,0,E85)</f>
        <v>2.2781221523473096</v>
      </c>
      <c r="F98" s="7" t="s">
        <v>4</v>
      </c>
      <c r="G98" s="30">
        <f>IF($D95&gt;$D$5,0,G85)</f>
        <v>1.0175625</v>
      </c>
      <c r="H98" s="31" t="s">
        <v>5</v>
      </c>
      <c r="I98" s="8">
        <f>IF($D95&gt;$D$5,0,I85+('Breeding season'!I$11/'Lead-up period'!D$5))</f>
        <v>2.21484375</v>
      </c>
      <c r="J98" s="7" t="s">
        <v>4</v>
      </c>
      <c r="K98" s="30">
        <f>IF($D95&gt;$D$5,0,K85)</f>
        <v>1.0175625</v>
      </c>
      <c r="L98" s="106" t="s">
        <v>5</v>
      </c>
      <c r="M98" s="8">
        <f>IF($D95&gt;$D$5,0,M85)</f>
        <v>1</v>
      </c>
      <c r="N98" s="34" t="s">
        <v>5</v>
      </c>
      <c r="O98" s="107"/>
      <c r="P98" s="19"/>
      <c r="Q98" s="20"/>
    </row>
    <row r="99" spans="1:17" s="5" customFormat="1" ht="12.75">
      <c r="A99" s="115"/>
      <c r="B99" s="115"/>
      <c r="C99" s="231">
        <f>C98/3.7</f>
        <v>7.696368243243243</v>
      </c>
      <c r="D99" s="367" t="s">
        <v>258</v>
      </c>
      <c r="E99" s="8">
        <f>E98/3.5</f>
        <v>0.6508920435278027</v>
      </c>
      <c r="F99" s="7" t="s">
        <v>15</v>
      </c>
      <c r="G99" s="30">
        <f>G98/5</f>
        <v>0.20351249999999999</v>
      </c>
      <c r="H99" s="31" t="s">
        <v>15</v>
      </c>
      <c r="I99" s="8">
        <f>I98/2.5</f>
        <v>0.8859375</v>
      </c>
      <c r="J99" s="7" t="s">
        <v>15</v>
      </c>
      <c r="K99" s="30">
        <f>K98/5</f>
        <v>0.20351249999999999</v>
      </c>
      <c r="L99" s="31" t="s">
        <v>15</v>
      </c>
      <c r="M99" s="8">
        <f>M98/5</f>
        <v>0.2</v>
      </c>
      <c r="N99" s="7" t="s">
        <v>15</v>
      </c>
      <c r="O99" s="107"/>
      <c r="P99" s="19"/>
      <c r="Q99" s="20"/>
    </row>
    <row r="100" spans="1:17" s="5" customFormat="1" ht="12.75">
      <c r="A100" s="87"/>
      <c r="B100" s="87"/>
      <c r="C100" s="232"/>
      <c r="D100" s="367"/>
      <c r="E100" s="112">
        <f>E98/0.25</f>
        <v>9.112488609389239</v>
      </c>
      <c r="F100" s="7" t="s">
        <v>62</v>
      </c>
      <c r="G100" s="32">
        <f>G98*30</f>
        <v>30.526874999999997</v>
      </c>
      <c r="H100" s="31" t="s">
        <v>61</v>
      </c>
      <c r="I100" s="112">
        <f>I98/0.2</f>
        <v>11.07421875</v>
      </c>
      <c r="J100" s="7" t="s">
        <v>62</v>
      </c>
      <c r="K100" s="32">
        <f>K98*30</f>
        <v>30.526874999999997</v>
      </c>
      <c r="L100" s="106" t="s">
        <v>61</v>
      </c>
      <c r="M100" s="8">
        <f>M98*30</f>
        <v>30</v>
      </c>
      <c r="N100" s="7" t="s">
        <v>61</v>
      </c>
      <c r="O100" s="18"/>
      <c r="P100" s="19"/>
      <c r="Q100" s="20"/>
    </row>
    <row r="101" spans="1:13" s="21" customFormat="1" ht="12.75" customHeight="1">
      <c r="A101" s="87"/>
      <c r="B101" s="16"/>
      <c r="C101" s="16"/>
      <c r="D101" s="17"/>
      <c r="E101" s="18"/>
      <c r="F101" s="18"/>
      <c r="G101" s="339" t="s">
        <v>243</v>
      </c>
      <c r="H101" s="340"/>
      <c r="I101" s="109"/>
      <c r="J101" s="109"/>
      <c r="K101" s="109"/>
      <c r="L101" s="109"/>
      <c r="M101" s="109"/>
    </row>
    <row r="102" spans="1:17" s="5" customFormat="1" ht="22.5" customHeight="1">
      <c r="A102" s="338" t="s">
        <v>30</v>
      </c>
      <c r="B102" s="338"/>
      <c r="C102" s="338"/>
      <c r="D102" s="338"/>
      <c r="E102" s="41"/>
      <c r="F102" s="41"/>
      <c r="G102" s="341"/>
      <c r="H102" s="342"/>
      <c r="I102" s="41"/>
      <c r="J102" s="41"/>
      <c r="K102" s="41"/>
      <c r="L102" s="41"/>
      <c r="M102" s="41"/>
      <c r="N102" s="41"/>
      <c r="O102" s="21"/>
      <c r="P102" s="21"/>
      <c r="Q102" s="20"/>
    </row>
    <row r="103" spans="1:17" s="5" customFormat="1" ht="58.5" customHeight="1">
      <c r="A103" s="334" t="s">
        <v>38</v>
      </c>
      <c r="B103" s="334"/>
      <c r="C103" s="335"/>
      <c r="D103" s="335"/>
      <c r="E103" s="344" t="s">
        <v>20</v>
      </c>
      <c r="F103" s="344"/>
      <c r="G103" s="345" t="s">
        <v>262</v>
      </c>
      <c r="H103" s="346"/>
      <c r="I103" s="336" t="s">
        <v>17</v>
      </c>
      <c r="J103" s="337"/>
      <c r="K103" s="350" t="s">
        <v>18</v>
      </c>
      <c r="L103" s="350"/>
      <c r="M103" s="336" t="s">
        <v>254</v>
      </c>
      <c r="N103" s="337"/>
      <c r="O103" s="110"/>
      <c r="P103" s="111"/>
      <c r="Q103" s="20"/>
    </row>
    <row r="104" spans="1:17" s="5" customFormat="1" ht="15" customHeight="1">
      <c r="A104" s="343"/>
      <c r="B104" s="343"/>
      <c r="C104" s="30">
        <f>IF($D95&gt;$D$5,0,(C91+('Breeding season'!C$17/'Lead-up period'!D$5)))</f>
        <v>1.1865219543475571</v>
      </c>
      <c r="D104" s="36" t="s">
        <v>4</v>
      </c>
      <c r="E104" s="8">
        <f>E98/5.6</f>
        <v>0.40680752720487673</v>
      </c>
      <c r="F104" s="7" t="s">
        <v>4</v>
      </c>
      <c r="G104" s="30">
        <f>G98/2</f>
        <v>0.50878125</v>
      </c>
      <c r="H104" s="106" t="s">
        <v>4</v>
      </c>
      <c r="I104" s="8">
        <f>I98</f>
        <v>2.21484375</v>
      </c>
      <c r="J104" s="7" t="s">
        <v>4</v>
      </c>
      <c r="K104" s="35">
        <f>K98</f>
        <v>1.0175625</v>
      </c>
      <c r="L104" s="33" t="s">
        <v>4</v>
      </c>
      <c r="M104" s="8">
        <f>M98</f>
        <v>1</v>
      </c>
      <c r="N104" s="34" t="s">
        <v>5</v>
      </c>
      <c r="O104" s="108"/>
      <c r="P104" s="17"/>
      <c r="Q104" s="20"/>
    </row>
    <row r="105" spans="1:17" s="5" customFormat="1" ht="15" customHeight="1">
      <c r="A105" s="335"/>
      <c r="B105" s="335"/>
      <c r="C105" s="35">
        <f>C104/3.5</f>
        <v>0.33900627267073064</v>
      </c>
      <c r="D105" s="33" t="s">
        <v>15</v>
      </c>
      <c r="E105" s="8">
        <f>E104/3.5</f>
        <v>0.11623072205853621</v>
      </c>
      <c r="F105" s="7" t="s">
        <v>15</v>
      </c>
      <c r="G105" s="30">
        <f>G98/2.5</f>
        <v>0.40702499999999997</v>
      </c>
      <c r="H105" s="117" t="s">
        <v>15</v>
      </c>
      <c r="I105" s="8">
        <f>I99</f>
        <v>0.8859375</v>
      </c>
      <c r="J105" s="7" t="s">
        <v>15</v>
      </c>
      <c r="K105" s="35">
        <f>K98/4</f>
        <v>0.254390625</v>
      </c>
      <c r="L105" s="33" t="s">
        <v>15</v>
      </c>
      <c r="M105" s="8">
        <f>M104/5</f>
        <v>0.2</v>
      </c>
      <c r="N105" s="7" t="s">
        <v>15</v>
      </c>
      <c r="O105" s="108"/>
      <c r="P105" s="17"/>
      <c r="Q105" s="20"/>
    </row>
    <row r="106" spans="1:17" s="5" customFormat="1" ht="12.75">
      <c r="A106" s="87"/>
      <c r="B106" s="87"/>
      <c r="C106" s="32">
        <f>C104/0.25</f>
        <v>4.746087817390229</v>
      </c>
      <c r="D106" s="106" t="s">
        <v>62</v>
      </c>
      <c r="E106" s="112">
        <f>E104/0.25</f>
        <v>1.627230108819507</v>
      </c>
      <c r="F106" s="7" t="s">
        <v>62</v>
      </c>
      <c r="G106" s="32">
        <f>G104*4</f>
        <v>2.035125</v>
      </c>
      <c r="H106" s="31" t="s">
        <v>62</v>
      </c>
      <c r="I106" s="112">
        <f>I100</f>
        <v>11.07421875</v>
      </c>
      <c r="J106" s="7" t="s">
        <v>62</v>
      </c>
      <c r="K106" s="32">
        <f>K104/0.25</f>
        <v>4.07025</v>
      </c>
      <c r="L106" s="106" t="s">
        <v>62</v>
      </c>
      <c r="M106" s="8">
        <f>M104*30</f>
        <v>30</v>
      </c>
      <c r="N106" s="7" t="s">
        <v>61</v>
      </c>
      <c r="O106" s="18"/>
      <c r="P106" s="19"/>
      <c r="Q106" s="20"/>
    </row>
    <row r="107" spans="1:16" ht="12.75">
      <c r="A107" s="87"/>
      <c r="B107" s="87"/>
      <c r="C107" s="127"/>
      <c r="D107" s="19"/>
      <c r="E107" s="127"/>
      <c r="F107" s="18"/>
      <c r="G107" s="127"/>
      <c r="H107" s="18"/>
      <c r="I107" s="127"/>
      <c r="J107" s="18"/>
      <c r="K107" s="127"/>
      <c r="L107" s="19"/>
      <c r="M107" s="18"/>
      <c r="N107" s="18"/>
      <c r="O107" s="18"/>
      <c r="P107" s="19"/>
    </row>
    <row r="108" spans="1:14" ht="18" customHeight="1">
      <c r="A108" s="385" t="s">
        <v>86</v>
      </c>
      <c r="B108" s="385"/>
      <c r="C108" s="144">
        <f>C95+7</f>
        <v>41056</v>
      </c>
      <c r="D108" s="143">
        <f>D95+1</f>
        <v>8</v>
      </c>
      <c r="E108" s="40"/>
      <c r="F108" s="40"/>
      <c r="G108" s="40"/>
      <c r="H108" s="40"/>
      <c r="I108" s="40"/>
      <c r="J108" s="40"/>
      <c r="K108" s="40"/>
      <c r="L108" s="40"/>
      <c r="M108" s="40"/>
      <c r="N108" s="40"/>
    </row>
    <row r="109" spans="1:14" ht="19.5" customHeight="1">
      <c r="A109" s="349" t="s">
        <v>35</v>
      </c>
      <c r="B109" s="349"/>
      <c r="C109" s="349"/>
      <c r="D109" s="349"/>
      <c r="E109" s="349"/>
      <c r="F109" s="349"/>
      <c r="G109" s="349"/>
      <c r="H109" s="349"/>
      <c r="I109" s="349"/>
      <c r="J109" s="349"/>
      <c r="K109" s="349"/>
      <c r="L109" s="349"/>
      <c r="M109" s="349"/>
      <c r="N109" s="349"/>
    </row>
    <row r="110" spans="1:17" s="5" customFormat="1" ht="77.25" customHeight="1">
      <c r="A110" s="351" t="s">
        <v>36</v>
      </c>
      <c r="B110" s="351"/>
      <c r="C110" s="351"/>
      <c r="D110" s="351"/>
      <c r="E110" s="344" t="s">
        <v>37</v>
      </c>
      <c r="F110" s="344"/>
      <c r="G110" s="345" t="s">
        <v>264</v>
      </c>
      <c r="H110" s="346"/>
      <c r="I110" s="336" t="s">
        <v>71</v>
      </c>
      <c r="J110" s="337"/>
      <c r="K110" s="345" t="s">
        <v>80</v>
      </c>
      <c r="L110" s="346"/>
      <c r="M110" s="336" t="s">
        <v>255</v>
      </c>
      <c r="N110" s="337"/>
      <c r="O110" s="110"/>
      <c r="P110" s="111"/>
      <c r="Q110" s="20"/>
    </row>
    <row r="111" spans="1:17" s="5" customFormat="1" ht="12.75">
      <c r="A111" s="347"/>
      <c r="B111" s="347"/>
      <c r="C111" s="32">
        <f>IF($D108&gt;$D$5,0,C98+(('Breeding season'!C$11-C$20)/D$5))</f>
        <v>30.05859375</v>
      </c>
      <c r="D111" s="33" t="s">
        <v>4</v>
      </c>
      <c r="E111" s="8">
        <f>IF($D108&gt;$D$5,0,E98)</f>
        <v>2.2781221523473096</v>
      </c>
      <c r="F111" s="7" t="s">
        <v>4</v>
      </c>
      <c r="G111" s="30">
        <f>IF($D108&gt;$D$5,0,G98)</f>
        <v>1.0175625</v>
      </c>
      <c r="H111" s="31" t="s">
        <v>5</v>
      </c>
      <c r="I111" s="8">
        <f>IF($D108&gt;$D$5,0,I98+('Breeding season'!I$11/'Lead-up period'!D$5))</f>
        <v>2.53125</v>
      </c>
      <c r="J111" s="7" t="s">
        <v>4</v>
      </c>
      <c r="K111" s="30">
        <f>IF($D108&gt;$D$5,0,K98)</f>
        <v>1.0175625</v>
      </c>
      <c r="L111" s="106" t="s">
        <v>5</v>
      </c>
      <c r="M111" s="8">
        <f>IF($D108&gt;$D$5,0,M98)</f>
        <v>1</v>
      </c>
      <c r="N111" s="34" t="s">
        <v>5</v>
      </c>
      <c r="O111" s="107"/>
      <c r="P111" s="19"/>
      <c r="Q111" s="20"/>
    </row>
    <row r="112" spans="1:17" s="5" customFormat="1" ht="12.75">
      <c r="A112" s="115"/>
      <c r="B112" s="115"/>
      <c r="C112" s="231">
        <f>C111/3.7</f>
        <v>8.123944256756756</v>
      </c>
      <c r="D112" s="367" t="s">
        <v>258</v>
      </c>
      <c r="E112" s="8">
        <f>E111/3.5</f>
        <v>0.6508920435278027</v>
      </c>
      <c r="F112" s="7" t="s">
        <v>15</v>
      </c>
      <c r="G112" s="30">
        <f>G111/5</f>
        <v>0.20351249999999999</v>
      </c>
      <c r="H112" s="31" t="s">
        <v>15</v>
      </c>
      <c r="I112" s="8">
        <f>I111/2.5</f>
        <v>1.0125</v>
      </c>
      <c r="J112" s="7" t="s">
        <v>15</v>
      </c>
      <c r="K112" s="30">
        <f>K111/5</f>
        <v>0.20351249999999999</v>
      </c>
      <c r="L112" s="31" t="s">
        <v>15</v>
      </c>
      <c r="M112" s="8">
        <f>M111/5</f>
        <v>0.2</v>
      </c>
      <c r="N112" s="7" t="s">
        <v>15</v>
      </c>
      <c r="O112" s="107"/>
      <c r="P112" s="19"/>
      <c r="Q112" s="20"/>
    </row>
    <row r="113" spans="1:17" s="5" customFormat="1" ht="12.75">
      <c r="A113" s="87"/>
      <c r="B113" s="87"/>
      <c r="C113" s="232"/>
      <c r="D113" s="367"/>
      <c r="E113" s="112">
        <f>E111/0.25</f>
        <v>9.112488609389239</v>
      </c>
      <c r="F113" s="7" t="s">
        <v>62</v>
      </c>
      <c r="G113" s="32">
        <f>G111*30</f>
        <v>30.526874999999997</v>
      </c>
      <c r="H113" s="31" t="s">
        <v>61</v>
      </c>
      <c r="I113" s="112">
        <f>I111/0.2</f>
        <v>12.65625</v>
      </c>
      <c r="J113" s="7" t="s">
        <v>62</v>
      </c>
      <c r="K113" s="32">
        <f>K111*30</f>
        <v>30.526874999999997</v>
      </c>
      <c r="L113" s="106" t="s">
        <v>61</v>
      </c>
      <c r="M113" s="8">
        <f>M111*30</f>
        <v>30</v>
      </c>
      <c r="N113" s="7" t="s">
        <v>61</v>
      </c>
      <c r="O113" s="18"/>
      <c r="P113" s="19"/>
      <c r="Q113" s="20"/>
    </row>
    <row r="114" spans="1:13" s="21" customFormat="1" ht="12.75" customHeight="1">
      <c r="A114" s="87"/>
      <c r="B114" s="16"/>
      <c r="C114" s="16"/>
      <c r="D114" s="17"/>
      <c r="E114" s="18"/>
      <c r="F114" s="18"/>
      <c r="G114" s="339" t="s">
        <v>243</v>
      </c>
      <c r="H114" s="340"/>
      <c r="I114" s="109"/>
      <c r="J114" s="109"/>
      <c r="K114" s="109"/>
      <c r="L114" s="109"/>
      <c r="M114" s="109"/>
    </row>
    <row r="115" spans="1:17" s="5" customFormat="1" ht="22.5" customHeight="1">
      <c r="A115" s="338" t="s">
        <v>30</v>
      </c>
      <c r="B115" s="338"/>
      <c r="C115" s="338"/>
      <c r="D115" s="338"/>
      <c r="E115" s="41"/>
      <c r="F115" s="41"/>
      <c r="G115" s="341"/>
      <c r="H115" s="342"/>
      <c r="I115" s="41"/>
      <c r="J115" s="41"/>
      <c r="K115" s="41"/>
      <c r="L115" s="41"/>
      <c r="M115" s="41"/>
      <c r="N115" s="41"/>
      <c r="O115" s="21"/>
      <c r="P115" s="21"/>
      <c r="Q115" s="20"/>
    </row>
    <row r="116" spans="1:17" s="5" customFormat="1" ht="58.5" customHeight="1">
      <c r="A116" s="334" t="s">
        <v>38</v>
      </c>
      <c r="B116" s="334"/>
      <c r="C116" s="335"/>
      <c r="D116" s="335"/>
      <c r="E116" s="344" t="s">
        <v>20</v>
      </c>
      <c r="F116" s="344"/>
      <c r="G116" s="345" t="s">
        <v>262</v>
      </c>
      <c r="H116" s="346"/>
      <c r="I116" s="336" t="s">
        <v>17</v>
      </c>
      <c r="J116" s="337"/>
      <c r="K116" s="350" t="s">
        <v>18</v>
      </c>
      <c r="L116" s="350"/>
      <c r="M116" s="336" t="s">
        <v>254</v>
      </c>
      <c r="N116" s="337"/>
      <c r="O116" s="110"/>
      <c r="P116" s="111"/>
      <c r="Q116" s="20"/>
    </row>
    <row r="117" spans="1:17" s="5" customFormat="1" ht="15" customHeight="1">
      <c r="A117" s="343"/>
      <c r="B117" s="343"/>
      <c r="C117" s="30">
        <f>IF($D108&gt;$D$5,0,(C104+('Breeding season'!C$17/'Lead-up period'!D$5)))</f>
        <v>1.2814437106953618</v>
      </c>
      <c r="D117" s="36" t="s">
        <v>4</v>
      </c>
      <c r="E117" s="8">
        <f>E111/5.6</f>
        <v>0.40680752720487673</v>
      </c>
      <c r="F117" s="7" t="s">
        <v>4</v>
      </c>
      <c r="G117" s="30">
        <f>G111/2</f>
        <v>0.50878125</v>
      </c>
      <c r="H117" s="106" t="s">
        <v>4</v>
      </c>
      <c r="I117" s="8">
        <f>I111</f>
        <v>2.53125</v>
      </c>
      <c r="J117" s="7" t="s">
        <v>4</v>
      </c>
      <c r="K117" s="35">
        <f>K111</f>
        <v>1.0175625</v>
      </c>
      <c r="L117" s="33" t="s">
        <v>4</v>
      </c>
      <c r="M117" s="8">
        <f>M111</f>
        <v>1</v>
      </c>
      <c r="N117" s="34" t="s">
        <v>5</v>
      </c>
      <c r="O117" s="108"/>
      <c r="P117" s="17"/>
      <c r="Q117" s="20"/>
    </row>
    <row r="118" spans="1:17" s="5" customFormat="1" ht="15" customHeight="1">
      <c r="A118" s="335"/>
      <c r="B118" s="335"/>
      <c r="C118" s="35">
        <f>C117/3.5</f>
        <v>0.3661267744843891</v>
      </c>
      <c r="D118" s="33" t="s">
        <v>15</v>
      </c>
      <c r="E118" s="8">
        <f>E117/3.5</f>
        <v>0.11623072205853621</v>
      </c>
      <c r="F118" s="7" t="s">
        <v>15</v>
      </c>
      <c r="G118" s="30">
        <f>G111/2.5</f>
        <v>0.40702499999999997</v>
      </c>
      <c r="H118" s="117" t="s">
        <v>15</v>
      </c>
      <c r="I118" s="8">
        <f>I112</f>
        <v>1.0125</v>
      </c>
      <c r="J118" s="7" t="s">
        <v>15</v>
      </c>
      <c r="K118" s="35">
        <f>K111/4</f>
        <v>0.254390625</v>
      </c>
      <c r="L118" s="33" t="s">
        <v>15</v>
      </c>
      <c r="M118" s="8">
        <f>M117/5</f>
        <v>0.2</v>
      </c>
      <c r="N118" s="7" t="s">
        <v>15</v>
      </c>
      <c r="O118" s="108"/>
      <c r="P118" s="17"/>
      <c r="Q118" s="20"/>
    </row>
    <row r="119" spans="1:17" s="5" customFormat="1" ht="12.75">
      <c r="A119" s="87"/>
      <c r="B119" s="87"/>
      <c r="C119" s="32">
        <f>C117/0.25</f>
        <v>5.125774842781447</v>
      </c>
      <c r="D119" s="106" t="s">
        <v>62</v>
      </c>
      <c r="E119" s="112">
        <f>E117/0.25</f>
        <v>1.627230108819507</v>
      </c>
      <c r="F119" s="7" t="s">
        <v>62</v>
      </c>
      <c r="G119" s="32">
        <f>G117*4</f>
        <v>2.035125</v>
      </c>
      <c r="H119" s="31" t="s">
        <v>62</v>
      </c>
      <c r="I119" s="112">
        <f>I113</f>
        <v>12.65625</v>
      </c>
      <c r="J119" s="7" t="s">
        <v>62</v>
      </c>
      <c r="K119" s="32">
        <f>K117/0.25</f>
        <v>4.07025</v>
      </c>
      <c r="L119" s="106" t="s">
        <v>62</v>
      </c>
      <c r="M119" s="8">
        <f>M117*30</f>
        <v>30</v>
      </c>
      <c r="N119" s="7" t="s">
        <v>61</v>
      </c>
      <c r="O119" s="18"/>
      <c r="P119" s="19"/>
      <c r="Q119" s="20"/>
    </row>
    <row r="120" spans="1:16" ht="12.75">
      <c r="A120" s="87"/>
      <c r="B120" s="87"/>
      <c r="C120" s="127"/>
      <c r="D120" s="19"/>
      <c r="E120" s="127"/>
      <c r="F120" s="18"/>
      <c r="G120" s="127"/>
      <c r="H120" s="18"/>
      <c r="I120" s="127"/>
      <c r="J120" s="18"/>
      <c r="K120" s="127"/>
      <c r="L120" s="19"/>
      <c r="M120" s="18"/>
      <c r="N120" s="18"/>
      <c r="O120" s="18"/>
      <c r="P120" s="19"/>
    </row>
    <row r="121" spans="1:14" ht="18" customHeight="1">
      <c r="A121" s="385" t="s">
        <v>87</v>
      </c>
      <c r="B121" s="385"/>
      <c r="C121" s="144">
        <f>C108+7</f>
        <v>41063</v>
      </c>
      <c r="D121" s="143">
        <f>D108+1</f>
        <v>9</v>
      </c>
      <c r="E121" s="40"/>
      <c r="F121" s="40"/>
      <c r="G121" s="40"/>
      <c r="H121" s="40"/>
      <c r="I121" s="40"/>
      <c r="J121" s="40"/>
      <c r="K121" s="40"/>
      <c r="L121" s="40"/>
      <c r="M121" s="40"/>
      <c r="N121" s="40"/>
    </row>
    <row r="122" spans="1:14" ht="19.5" customHeight="1">
      <c r="A122" s="349" t="s">
        <v>35</v>
      </c>
      <c r="B122" s="349"/>
      <c r="C122" s="349"/>
      <c r="D122" s="349"/>
      <c r="E122" s="349"/>
      <c r="F122" s="349"/>
      <c r="G122" s="349"/>
      <c r="H122" s="349"/>
      <c r="I122" s="349"/>
      <c r="J122" s="349"/>
      <c r="K122" s="349"/>
      <c r="L122" s="349"/>
      <c r="M122" s="349"/>
      <c r="N122" s="349"/>
    </row>
    <row r="123" spans="1:17" s="5" customFormat="1" ht="78.75" customHeight="1">
      <c r="A123" s="351" t="s">
        <v>36</v>
      </c>
      <c r="B123" s="351"/>
      <c r="C123" s="351"/>
      <c r="D123" s="351"/>
      <c r="E123" s="344" t="s">
        <v>37</v>
      </c>
      <c r="F123" s="344"/>
      <c r="G123" s="345" t="s">
        <v>264</v>
      </c>
      <c r="H123" s="346"/>
      <c r="I123" s="336" t="s">
        <v>71</v>
      </c>
      <c r="J123" s="337"/>
      <c r="K123" s="345" t="s">
        <v>80</v>
      </c>
      <c r="L123" s="346"/>
      <c r="M123" s="336" t="s">
        <v>255</v>
      </c>
      <c r="N123" s="337"/>
      <c r="O123" s="110"/>
      <c r="P123" s="111"/>
      <c r="Q123" s="20"/>
    </row>
    <row r="124" spans="1:17" s="5" customFormat="1" ht="12.75">
      <c r="A124" s="347"/>
      <c r="B124" s="347"/>
      <c r="C124" s="32">
        <f>IF($D121&gt;$D$5,0,C111+(('Breeding season'!C$11-C$20)/D$5))</f>
        <v>31.640625</v>
      </c>
      <c r="D124" s="33" t="s">
        <v>4</v>
      </c>
      <c r="E124" s="8">
        <f>IF($D121&gt;$D$5,0,E111)</f>
        <v>2.2781221523473096</v>
      </c>
      <c r="F124" s="7" t="s">
        <v>4</v>
      </c>
      <c r="G124" s="30">
        <f>IF($D121&gt;$D$5,0,G111)</f>
        <v>1.0175625</v>
      </c>
      <c r="H124" s="31" t="s">
        <v>5</v>
      </c>
      <c r="I124" s="8">
        <f>IF($D121&gt;$D$5,0,I111+('Breeding season'!I$11/'Lead-up period'!D$5))</f>
        <v>2.84765625</v>
      </c>
      <c r="J124" s="7" t="s">
        <v>4</v>
      </c>
      <c r="K124" s="30">
        <f>IF($D121&gt;$D$5,0,K111)</f>
        <v>1.0175625</v>
      </c>
      <c r="L124" s="106" t="s">
        <v>5</v>
      </c>
      <c r="M124" s="8">
        <f>IF($D121&gt;$D$5,0,M111)</f>
        <v>1</v>
      </c>
      <c r="N124" s="34" t="s">
        <v>5</v>
      </c>
      <c r="O124" s="107"/>
      <c r="P124" s="19"/>
      <c r="Q124" s="20"/>
    </row>
    <row r="125" spans="1:17" s="5" customFormat="1" ht="12.75">
      <c r="A125" s="115"/>
      <c r="B125" s="115"/>
      <c r="C125" s="231">
        <f>C124/3.7</f>
        <v>8.55152027027027</v>
      </c>
      <c r="D125" s="367" t="s">
        <v>258</v>
      </c>
      <c r="E125" s="8">
        <f>E124/3.5</f>
        <v>0.6508920435278027</v>
      </c>
      <c r="F125" s="7" t="s">
        <v>15</v>
      </c>
      <c r="G125" s="30">
        <f>G124/5</f>
        <v>0.20351249999999999</v>
      </c>
      <c r="H125" s="31" t="s">
        <v>15</v>
      </c>
      <c r="I125" s="8">
        <f>I124/2.5</f>
        <v>1.1390625</v>
      </c>
      <c r="J125" s="7" t="s">
        <v>15</v>
      </c>
      <c r="K125" s="30">
        <f>K124/5</f>
        <v>0.20351249999999999</v>
      </c>
      <c r="L125" s="31" t="s">
        <v>15</v>
      </c>
      <c r="M125" s="8">
        <f>M124/5</f>
        <v>0.2</v>
      </c>
      <c r="N125" s="7" t="s">
        <v>15</v>
      </c>
      <c r="O125" s="107"/>
      <c r="P125" s="19"/>
      <c r="Q125" s="20"/>
    </row>
    <row r="126" spans="1:17" s="5" customFormat="1" ht="12.75">
      <c r="A126" s="87"/>
      <c r="B126" s="87"/>
      <c r="C126" s="232"/>
      <c r="D126" s="367"/>
      <c r="E126" s="112">
        <f>E124/0.25</f>
        <v>9.112488609389239</v>
      </c>
      <c r="F126" s="7" t="s">
        <v>62</v>
      </c>
      <c r="G126" s="32">
        <f>G124*30</f>
        <v>30.526874999999997</v>
      </c>
      <c r="H126" s="31" t="s">
        <v>61</v>
      </c>
      <c r="I126" s="112">
        <f>I124/0.2</f>
        <v>14.23828125</v>
      </c>
      <c r="J126" s="7" t="s">
        <v>62</v>
      </c>
      <c r="K126" s="32">
        <f>K124*30</f>
        <v>30.526874999999997</v>
      </c>
      <c r="L126" s="106" t="s">
        <v>61</v>
      </c>
      <c r="M126" s="8">
        <f>M124*30</f>
        <v>30</v>
      </c>
      <c r="N126" s="7" t="s">
        <v>61</v>
      </c>
      <c r="O126" s="18"/>
      <c r="P126" s="19"/>
      <c r="Q126" s="20"/>
    </row>
    <row r="127" spans="1:13" s="21" customFormat="1" ht="12.75" customHeight="1">
      <c r="A127" s="87"/>
      <c r="B127" s="16"/>
      <c r="C127" s="16"/>
      <c r="D127" s="17"/>
      <c r="E127" s="18"/>
      <c r="F127" s="18"/>
      <c r="G127" s="339" t="s">
        <v>243</v>
      </c>
      <c r="H127" s="340"/>
      <c r="I127" s="109"/>
      <c r="J127" s="109"/>
      <c r="K127" s="109"/>
      <c r="L127" s="109"/>
      <c r="M127" s="109"/>
    </row>
    <row r="128" spans="1:17" s="5" customFormat="1" ht="22.5" customHeight="1">
      <c r="A128" s="338" t="s">
        <v>30</v>
      </c>
      <c r="B128" s="338"/>
      <c r="C128" s="338"/>
      <c r="D128" s="338"/>
      <c r="E128" s="41"/>
      <c r="F128" s="41"/>
      <c r="G128" s="341"/>
      <c r="H128" s="342"/>
      <c r="I128" s="41"/>
      <c r="J128" s="41"/>
      <c r="K128" s="41"/>
      <c r="L128" s="41"/>
      <c r="M128" s="41"/>
      <c r="N128" s="41"/>
      <c r="O128" s="21"/>
      <c r="P128" s="21"/>
      <c r="Q128" s="20"/>
    </row>
    <row r="129" spans="1:17" s="5" customFormat="1" ht="58.5" customHeight="1">
      <c r="A129" s="334" t="s">
        <v>38</v>
      </c>
      <c r="B129" s="334"/>
      <c r="C129" s="335"/>
      <c r="D129" s="335"/>
      <c r="E129" s="344" t="s">
        <v>20</v>
      </c>
      <c r="F129" s="344"/>
      <c r="G129" s="345" t="s">
        <v>262</v>
      </c>
      <c r="H129" s="346"/>
      <c r="I129" s="336" t="s">
        <v>17</v>
      </c>
      <c r="J129" s="337"/>
      <c r="K129" s="350" t="s">
        <v>18</v>
      </c>
      <c r="L129" s="350"/>
      <c r="M129" s="336" t="s">
        <v>254</v>
      </c>
      <c r="N129" s="337"/>
      <c r="O129" s="110"/>
      <c r="P129" s="111"/>
      <c r="Q129" s="20"/>
    </row>
    <row r="130" spans="1:17" s="5" customFormat="1" ht="15" customHeight="1">
      <c r="A130" s="343"/>
      <c r="B130" s="343"/>
      <c r="C130" s="30">
        <f>IF($D121&gt;$D$5,0,(C117+('Breeding season'!C$17/'Lead-up period'!D$5)))</f>
        <v>1.3763654670431664</v>
      </c>
      <c r="D130" s="36" t="s">
        <v>4</v>
      </c>
      <c r="E130" s="8">
        <f>E124/5.6</f>
        <v>0.40680752720487673</v>
      </c>
      <c r="F130" s="7" t="s">
        <v>4</v>
      </c>
      <c r="G130" s="30">
        <f>G124/2</f>
        <v>0.50878125</v>
      </c>
      <c r="H130" s="106" t="s">
        <v>4</v>
      </c>
      <c r="I130" s="8">
        <f>I124</f>
        <v>2.84765625</v>
      </c>
      <c r="J130" s="7" t="s">
        <v>4</v>
      </c>
      <c r="K130" s="35">
        <f>K124</f>
        <v>1.0175625</v>
      </c>
      <c r="L130" s="33" t="s">
        <v>4</v>
      </c>
      <c r="M130" s="8">
        <f>M124</f>
        <v>1</v>
      </c>
      <c r="N130" s="34" t="s">
        <v>5</v>
      </c>
      <c r="O130" s="108"/>
      <c r="P130" s="17"/>
      <c r="Q130" s="20"/>
    </row>
    <row r="131" spans="1:17" s="5" customFormat="1" ht="15" customHeight="1">
      <c r="A131" s="335"/>
      <c r="B131" s="335"/>
      <c r="C131" s="35">
        <f>C130/3.5</f>
        <v>0.39324727629804757</v>
      </c>
      <c r="D131" s="33" t="s">
        <v>15</v>
      </c>
      <c r="E131" s="8">
        <f>E130/3.5</f>
        <v>0.11623072205853621</v>
      </c>
      <c r="F131" s="7" t="s">
        <v>15</v>
      </c>
      <c r="G131" s="30">
        <f>G124/2.5</f>
        <v>0.40702499999999997</v>
      </c>
      <c r="H131" s="117" t="s">
        <v>15</v>
      </c>
      <c r="I131" s="8">
        <f>I125</f>
        <v>1.1390625</v>
      </c>
      <c r="J131" s="7" t="s">
        <v>15</v>
      </c>
      <c r="K131" s="35">
        <f>K124/4</f>
        <v>0.254390625</v>
      </c>
      <c r="L131" s="33" t="s">
        <v>15</v>
      </c>
      <c r="M131" s="8">
        <f>M130/5</f>
        <v>0.2</v>
      </c>
      <c r="N131" s="7" t="s">
        <v>15</v>
      </c>
      <c r="O131" s="108"/>
      <c r="P131" s="17"/>
      <c r="Q131" s="20"/>
    </row>
    <row r="132" spans="1:17" s="5" customFormat="1" ht="12.75">
      <c r="A132" s="87"/>
      <c r="B132" s="87"/>
      <c r="C132" s="32">
        <f>C130/0.25</f>
        <v>5.505461868172666</v>
      </c>
      <c r="D132" s="106" t="s">
        <v>62</v>
      </c>
      <c r="E132" s="112">
        <f>E130/0.25</f>
        <v>1.627230108819507</v>
      </c>
      <c r="F132" s="7" t="s">
        <v>62</v>
      </c>
      <c r="G132" s="32">
        <f>G130*4</f>
        <v>2.035125</v>
      </c>
      <c r="H132" s="31" t="s">
        <v>62</v>
      </c>
      <c r="I132" s="112">
        <f>I126</f>
        <v>14.23828125</v>
      </c>
      <c r="J132" s="7" t="s">
        <v>62</v>
      </c>
      <c r="K132" s="32">
        <f>K130/0.25</f>
        <v>4.07025</v>
      </c>
      <c r="L132" s="106" t="s">
        <v>62</v>
      </c>
      <c r="M132" s="8">
        <f>M130*30</f>
        <v>30</v>
      </c>
      <c r="N132" s="7" t="s">
        <v>61</v>
      </c>
      <c r="O132" s="18"/>
      <c r="P132" s="19"/>
      <c r="Q132" s="20"/>
    </row>
    <row r="133" spans="1:16" ht="12.75">
      <c r="A133" s="87"/>
      <c r="B133" s="87"/>
      <c r="C133" s="127"/>
      <c r="D133" s="19"/>
      <c r="E133" s="127"/>
      <c r="F133" s="18"/>
      <c r="G133" s="127"/>
      <c r="H133" s="18"/>
      <c r="I133" s="127"/>
      <c r="J133" s="18"/>
      <c r="K133" s="127"/>
      <c r="L133" s="19"/>
      <c r="M133" s="18"/>
      <c r="N133" s="18"/>
      <c r="O133" s="18"/>
      <c r="P133" s="19"/>
    </row>
    <row r="134" spans="1:14" ht="18" customHeight="1">
      <c r="A134" s="385" t="s">
        <v>88</v>
      </c>
      <c r="B134" s="385"/>
      <c r="C134" s="144">
        <f>C121+7</f>
        <v>41070</v>
      </c>
      <c r="D134" s="143">
        <f>D121+1</f>
        <v>10</v>
      </c>
      <c r="E134" s="40"/>
      <c r="F134" s="40"/>
      <c r="G134" s="40"/>
      <c r="H134" s="40"/>
      <c r="I134" s="40"/>
      <c r="J134" s="40"/>
      <c r="K134" s="40"/>
      <c r="L134" s="40"/>
      <c r="M134" s="40"/>
      <c r="N134" s="40"/>
    </row>
    <row r="135" spans="1:14" ht="19.5" customHeight="1">
      <c r="A135" s="349" t="s">
        <v>35</v>
      </c>
      <c r="B135" s="349"/>
      <c r="C135" s="349"/>
      <c r="D135" s="349"/>
      <c r="E135" s="349"/>
      <c r="F135" s="349"/>
      <c r="G135" s="349"/>
      <c r="H135" s="349"/>
      <c r="I135" s="349"/>
      <c r="J135" s="349"/>
      <c r="K135" s="349"/>
      <c r="L135" s="349"/>
      <c r="M135" s="349"/>
      <c r="N135" s="349"/>
    </row>
    <row r="136" spans="1:17" s="5" customFormat="1" ht="78.75" customHeight="1">
      <c r="A136" s="351" t="s">
        <v>36</v>
      </c>
      <c r="B136" s="351"/>
      <c r="C136" s="351"/>
      <c r="D136" s="351"/>
      <c r="E136" s="344" t="s">
        <v>37</v>
      </c>
      <c r="F136" s="344"/>
      <c r="G136" s="345" t="s">
        <v>264</v>
      </c>
      <c r="H136" s="346"/>
      <c r="I136" s="336" t="s">
        <v>71</v>
      </c>
      <c r="J136" s="337"/>
      <c r="K136" s="345" t="s">
        <v>80</v>
      </c>
      <c r="L136" s="346"/>
      <c r="M136" s="336" t="s">
        <v>255</v>
      </c>
      <c r="N136" s="337"/>
      <c r="O136" s="110"/>
      <c r="P136" s="111"/>
      <c r="Q136" s="20"/>
    </row>
    <row r="137" spans="1:17" s="5" customFormat="1" ht="12.75">
      <c r="A137" s="347"/>
      <c r="B137" s="347"/>
      <c r="C137" s="32">
        <f>IF($D134&gt;$D$5,0,C124+(('Breeding season'!C$11-C$20)/D$5))</f>
        <v>33.22265625</v>
      </c>
      <c r="D137" s="33" t="s">
        <v>4</v>
      </c>
      <c r="E137" s="8">
        <f>IF($D134&gt;$D$5,0,E124)</f>
        <v>2.2781221523473096</v>
      </c>
      <c r="F137" s="7" t="s">
        <v>4</v>
      </c>
      <c r="G137" s="30">
        <f>IF($D134&gt;$D$5,0,G124)</f>
        <v>1.0175625</v>
      </c>
      <c r="H137" s="31" t="s">
        <v>5</v>
      </c>
      <c r="I137" s="8">
        <f>IF($D134&gt;$D$5,0,I124+('Breeding season'!I$11/'Lead-up period'!D$5))</f>
        <v>3.1640625</v>
      </c>
      <c r="J137" s="7" t="s">
        <v>4</v>
      </c>
      <c r="K137" s="30">
        <f>IF($D134&gt;$D$5,0,K124)</f>
        <v>1.0175625</v>
      </c>
      <c r="L137" s="106" t="s">
        <v>5</v>
      </c>
      <c r="M137" s="8">
        <f>IF($D134&gt;$D$5,0,M124)</f>
        <v>1</v>
      </c>
      <c r="N137" s="34" t="s">
        <v>5</v>
      </c>
      <c r="O137" s="107"/>
      <c r="P137" s="19"/>
      <c r="Q137" s="20"/>
    </row>
    <row r="138" spans="1:17" s="5" customFormat="1" ht="12.75">
      <c r="A138" s="115"/>
      <c r="B138" s="115"/>
      <c r="C138" s="231">
        <f>C137/3.7</f>
        <v>8.979096283783784</v>
      </c>
      <c r="D138" s="367" t="s">
        <v>258</v>
      </c>
      <c r="E138" s="8">
        <f>E137/3.5</f>
        <v>0.6508920435278027</v>
      </c>
      <c r="F138" s="7" t="s">
        <v>15</v>
      </c>
      <c r="G138" s="30">
        <f>G137/5</f>
        <v>0.20351249999999999</v>
      </c>
      <c r="H138" s="31" t="s">
        <v>15</v>
      </c>
      <c r="I138" s="8">
        <f>I137/2.5</f>
        <v>1.265625</v>
      </c>
      <c r="J138" s="7" t="s">
        <v>15</v>
      </c>
      <c r="K138" s="30">
        <f>K137/5</f>
        <v>0.20351249999999999</v>
      </c>
      <c r="L138" s="31" t="s">
        <v>15</v>
      </c>
      <c r="M138" s="8">
        <f>M137/5</f>
        <v>0.2</v>
      </c>
      <c r="N138" s="7" t="s">
        <v>15</v>
      </c>
      <c r="O138" s="107"/>
      <c r="P138" s="19"/>
      <c r="Q138" s="20"/>
    </row>
    <row r="139" spans="1:17" s="5" customFormat="1" ht="12.75">
      <c r="A139" s="87"/>
      <c r="B139" s="87"/>
      <c r="C139" s="232"/>
      <c r="D139" s="367"/>
      <c r="E139" s="112">
        <f>E137/0.25</f>
        <v>9.112488609389239</v>
      </c>
      <c r="F139" s="7" t="s">
        <v>62</v>
      </c>
      <c r="G139" s="32">
        <f>G137*30</f>
        <v>30.526874999999997</v>
      </c>
      <c r="H139" s="31" t="s">
        <v>61</v>
      </c>
      <c r="I139" s="112">
        <f>I137/0.2</f>
        <v>15.8203125</v>
      </c>
      <c r="J139" s="7" t="s">
        <v>62</v>
      </c>
      <c r="K139" s="32">
        <f>K137*30</f>
        <v>30.526874999999997</v>
      </c>
      <c r="L139" s="106" t="s">
        <v>61</v>
      </c>
      <c r="M139" s="8">
        <f>M137*30</f>
        <v>30</v>
      </c>
      <c r="N139" s="7" t="s">
        <v>61</v>
      </c>
      <c r="O139" s="18"/>
      <c r="P139" s="19"/>
      <c r="Q139" s="20"/>
    </row>
    <row r="140" spans="1:13" s="21" customFormat="1" ht="12.75" customHeight="1">
      <c r="A140" s="87"/>
      <c r="B140" s="16"/>
      <c r="C140" s="16"/>
      <c r="D140" s="17"/>
      <c r="E140" s="18"/>
      <c r="F140" s="18"/>
      <c r="G140" s="339" t="s">
        <v>243</v>
      </c>
      <c r="H140" s="340"/>
      <c r="I140" s="109"/>
      <c r="J140" s="109"/>
      <c r="K140" s="109"/>
      <c r="L140" s="109"/>
      <c r="M140" s="109"/>
    </row>
    <row r="141" spans="1:17" s="5" customFormat="1" ht="22.5" customHeight="1">
      <c r="A141" s="338" t="s">
        <v>30</v>
      </c>
      <c r="B141" s="338"/>
      <c r="C141" s="338"/>
      <c r="D141" s="338"/>
      <c r="E141" s="41"/>
      <c r="F141" s="41"/>
      <c r="G141" s="341"/>
      <c r="H141" s="342"/>
      <c r="I141" s="41"/>
      <c r="J141" s="41"/>
      <c r="K141" s="41"/>
      <c r="L141" s="41"/>
      <c r="M141" s="41"/>
      <c r="N141" s="41"/>
      <c r="O141" s="21"/>
      <c r="P141" s="21"/>
      <c r="Q141" s="20"/>
    </row>
    <row r="142" spans="1:17" s="5" customFormat="1" ht="58.5" customHeight="1">
      <c r="A142" s="334" t="s">
        <v>38</v>
      </c>
      <c r="B142" s="334"/>
      <c r="C142" s="335"/>
      <c r="D142" s="335"/>
      <c r="E142" s="344" t="s">
        <v>20</v>
      </c>
      <c r="F142" s="344"/>
      <c r="G142" s="345" t="s">
        <v>262</v>
      </c>
      <c r="H142" s="346"/>
      <c r="I142" s="336" t="s">
        <v>17</v>
      </c>
      <c r="J142" s="337"/>
      <c r="K142" s="350" t="s">
        <v>18</v>
      </c>
      <c r="L142" s="350"/>
      <c r="M142" s="336" t="s">
        <v>254</v>
      </c>
      <c r="N142" s="337"/>
      <c r="O142" s="110"/>
      <c r="P142" s="111"/>
      <c r="Q142" s="20"/>
    </row>
    <row r="143" spans="1:17" s="5" customFormat="1" ht="15" customHeight="1">
      <c r="A143" s="343"/>
      <c r="B143" s="343"/>
      <c r="C143" s="30">
        <f>IF($D134&gt;$D$5,0,(C130+('Breeding season'!C$17/'Lead-up period'!D$5)))</f>
        <v>1.471287223390971</v>
      </c>
      <c r="D143" s="36" t="s">
        <v>4</v>
      </c>
      <c r="E143" s="8">
        <f>E137/5.6</f>
        <v>0.40680752720487673</v>
      </c>
      <c r="F143" s="7" t="s">
        <v>4</v>
      </c>
      <c r="G143" s="30">
        <f>G137/2</f>
        <v>0.50878125</v>
      </c>
      <c r="H143" s="106" t="s">
        <v>4</v>
      </c>
      <c r="I143" s="8">
        <f>I137</f>
        <v>3.1640625</v>
      </c>
      <c r="J143" s="7" t="s">
        <v>4</v>
      </c>
      <c r="K143" s="35">
        <f>K137</f>
        <v>1.0175625</v>
      </c>
      <c r="L143" s="33" t="s">
        <v>4</v>
      </c>
      <c r="M143" s="8">
        <f>M137</f>
        <v>1</v>
      </c>
      <c r="N143" s="34" t="s">
        <v>5</v>
      </c>
      <c r="O143" s="108"/>
      <c r="P143" s="17"/>
      <c r="Q143" s="20"/>
    </row>
    <row r="144" spans="1:17" s="5" customFormat="1" ht="15" customHeight="1">
      <c r="A144" s="335"/>
      <c r="B144" s="335"/>
      <c r="C144" s="35">
        <f>C143/3.5</f>
        <v>0.420367778111706</v>
      </c>
      <c r="D144" s="33" t="s">
        <v>15</v>
      </c>
      <c r="E144" s="8">
        <f>E143/3.5</f>
        <v>0.11623072205853621</v>
      </c>
      <c r="F144" s="7" t="s">
        <v>15</v>
      </c>
      <c r="G144" s="30">
        <f>G137/2.5</f>
        <v>0.40702499999999997</v>
      </c>
      <c r="H144" s="117" t="s">
        <v>15</v>
      </c>
      <c r="I144" s="8">
        <f>I138</f>
        <v>1.265625</v>
      </c>
      <c r="J144" s="7" t="s">
        <v>15</v>
      </c>
      <c r="K144" s="35">
        <f>K137/4</f>
        <v>0.254390625</v>
      </c>
      <c r="L144" s="33" t="s">
        <v>15</v>
      </c>
      <c r="M144" s="8">
        <f>M143/5</f>
        <v>0.2</v>
      </c>
      <c r="N144" s="7" t="s">
        <v>15</v>
      </c>
      <c r="O144" s="108"/>
      <c r="P144" s="17"/>
      <c r="Q144" s="20"/>
    </row>
    <row r="145" spans="1:17" s="5" customFormat="1" ht="12.75">
      <c r="A145" s="87"/>
      <c r="B145" s="87"/>
      <c r="C145" s="32">
        <f>C143/0.25</f>
        <v>5.885148893563884</v>
      </c>
      <c r="D145" s="106" t="s">
        <v>62</v>
      </c>
      <c r="E145" s="112">
        <f>E143/0.25</f>
        <v>1.627230108819507</v>
      </c>
      <c r="F145" s="7" t="s">
        <v>62</v>
      </c>
      <c r="G145" s="32">
        <f>G143*4</f>
        <v>2.035125</v>
      </c>
      <c r="H145" s="31" t="s">
        <v>62</v>
      </c>
      <c r="I145" s="112">
        <f>I139</f>
        <v>15.8203125</v>
      </c>
      <c r="J145" s="7" t="s">
        <v>62</v>
      </c>
      <c r="K145" s="32">
        <f>K143/0.25</f>
        <v>4.07025</v>
      </c>
      <c r="L145" s="106" t="s">
        <v>62</v>
      </c>
      <c r="M145" s="8">
        <f>M143*30</f>
        <v>30</v>
      </c>
      <c r="N145" s="7" t="s">
        <v>61</v>
      </c>
      <c r="O145" s="18"/>
      <c r="P145" s="19"/>
      <c r="Q145" s="20"/>
    </row>
    <row r="146" spans="1:16" ht="12.75">
      <c r="A146" s="87"/>
      <c r="B146" s="87"/>
      <c r="C146" s="127"/>
      <c r="D146" s="19"/>
      <c r="E146" s="127"/>
      <c r="F146" s="18"/>
      <c r="G146" s="127"/>
      <c r="H146" s="18"/>
      <c r="I146" s="127"/>
      <c r="J146" s="18"/>
      <c r="K146" s="127"/>
      <c r="L146" s="19"/>
      <c r="M146" s="18"/>
      <c r="N146" s="18"/>
      <c r="O146" s="18"/>
      <c r="P146" s="19"/>
    </row>
    <row r="147" spans="1:14" ht="18" customHeight="1">
      <c r="A147" s="385" t="s">
        <v>89</v>
      </c>
      <c r="B147" s="385"/>
      <c r="C147" s="144">
        <f>C134+7</f>
        <v>41077</v>
      </c>
      <c r="D147" s="143">
        <f>D134+1</f>
        <v>11</v>
      </c>
      <c r="E147" s="40"/>
      <c r="F147" s="40"/>
      <c r="G147" s="40"/>
      <c r="H147" s="40"/>
      <c r="I147" s="40"/>
      <c r="J147" s="40"/>
      <c r="K147" s="40"/>
      <c r="L147" s="40"/>
      <c r="M147" s="40"/>
      <c r="N147" s="40"/>
    </row>
    <row r="148" spans="1:14" ht="19.5" customHeight="1">
      <c r="A148" s="349" t="s">
        <v>35</v>
      </c>
      <c r="B148" s="349"/>
      <c r="C148" s="349"/>
      <c r="D148" s="349"/>
      <c r="E148" s="349"/>
      <c r="F148" s="349"/>
      <c r="G148" s="349"/>
      <c r="H148" s="349"/>
      <c r="I148" s="349"/>
      <c r="J148" s="349"/>
      <c r="K148" s="349"/>
      <c r="L148" s="349"/>
      <c r="M148" s="349"/>
      <c r="N148" s="349"/>
    </row>
    <row r="149" spans="1:17" s="5" customFormat="1" ht="80.25" customHeight="1">
      <c r="A149" s="351" t="s">
        <v>36</v>
      </c>
      <c r="B149" s="351"/>
      <c r="C149" s="351"/>
      <c r="D149" s="351"/>
      <c r="E149" s="344" t="s">
        <v>37</v>
      </c>
      <c r="F149" s="344"/>
      <c r="G149" s="345" t="s">
        <v>264</v>
      </c>
      <c r="H149" s="346"/>
      <c r="I149" s="336" t="s">
        <v>71</v>
      </c>
      <c r="J149" s="337"/>
      <c r="K149" s="345" t="s">
        <v>232</v>
      </c>
      <c r="L149" s="346"/>
      <c r="M149" s="336" t="s">
        <v>255</v>
      </c>
      <c r="N149" s="337"/>
      <c r="O149" s="110"/>
      <c r="P149" s="111"/>
      <c r="Q149" s="20"/>
    </row>
    <row r="150" spans="1:17" s="5" customFormat="1" ht="12.75">
      <c r="A150" s="347"/>
      <c r="B150" s="347"/>
      <c r="C150" s="32">
        <f>IF($D147&gt;$D$5,0,C137+(('Breeding season'!C$11-C$20)/D$5))</f>
        <v>34.8046875</v>
      </c>
      <c r="D150" s="33" t="s">
        <v>4</v>
      </c>
      <c r="E150" s="8">
        <f>IF($D147&gt;$D$5,0,E137)</f>
        <v>2.2781221523473096</v>
      </c>
      <c r="F150" s="7" t="s">
        <v>4</v>
      </c>
      <c r="G150" s="30">
        <f>IF($D147&gt;$D$5,0,G137)</f>
        <v>1.0175625</v>
      </c>
      <c r="H150" s="31" t="s">
        <v>5</v>
      </c>
      <c r="I150" s="8">
        <f>IF($D147&gt;$D$5,0,I137+('Breeding season'!I$11/'Lead-up period'!D$5))</f>
        <v>3.48046875</v>
      </c>
      <c r="J150" s="7" t="s">
        <v>4</v>
      </c>
      <c r="K150" s="30">
        <f>IF($D147&gt;$D$5,0,K137)</f>
        <v>1.0175625</v>
      </c>
      <c r="L150" s="106" t="s">
        <v>5</v>
      </c>
      <c r="M150" s="8">
        <f>IF($D147&gt;$D$5,0,M137)</f>
        <v>1</v>
      </c>
      <c r="N150" s="34" t="s">
        <v>5</v>
      </c>
      <c r="O150" s="107"/>
      <c r="P150" s="19"/>
      <c r="Q150" s="20"/>
    </row>
    <row r="151" spans="1:17" s="5" customFormat="1" ht="12.75">
      <c r="A151" s="115"/>
      <c r="B151" s="115"/>
      <c r="C151" s="231">
        <f>C150/3.7</f>
        <v>9.406672297297296</v>
      </c>
      <c r="D151" s="367" t="s">
        <v>258</v>
      </c>
      <c r="E151" s="8">
        <f>E150/3.5</f>
        <v>0.6508920435278027</v>
      </c>
      <c r="F151" s="7" t="s">
        <v>15</v>
      </c>
      <c r="G151" s="30">
        <f>G150/5</f>
        <v>0.20351249999999999</v>
      </c>
      <c r="H151" s="31" t="s">
        <v>15</v>
      </c>
      <c r="I151" s="8">
        <f>I150/2.5</f>
        <v>1.3921875</v>
      </c>
      <c r="J151" s="7" t="s">
        <v>15</v>
      </c>
      <c r="K151" s="30">
        <f>K150/5</f>
        <v>0.20351249999999999</v>
      </c>
      <c r="L151" s="31" t="s">
        <v>15</v>
      </c>
      <c r="M151" s="8">
        <f>M150/5</f>
        <v>0.2</v>
      </c>
      <c r="N151" s="7" t="s">
        <v>15</v>
      </c>
      <c r="O151" s="107"/>
      <c r="P151" s="19"/>
      <c r="Q151" s="20"/>
    </row>
    <row r="152" spans="1:17" s="5" customFormat="1" ht="12.75">
      <c r="A152" s="87"/>
      <c r="B152" s="87"/>
      <c r="C152" s="232"/>
      <c r="D152" s="367"/>
      <c r="E152" s="112">
        <f>E150/0.25</f>
        <v>9.112488609389239</v>
      </c>
      <c r="F152" s="7" t="s">
        <v>62</v>
      </c>
      <c r="G152" s="32">
        <f>G150*30</f>
        <v>30.526874999999997</v>
      </c>
      <c r="H152" s="31" t="s">
        <v>61</v>
      </c>
      <c r="I152" s="112">
        <f>I150/0.2</f>
        <v>17.40234375</v>
      </c>
      <c r="J152" s="7" t="s">
        <v>62</v>
      </c>
      <c r="K152" s="32">
        <f>K150*30</f>
        <v>30.526874999999997</v>
      </c>
      <c r="L152" s="106" t="s">
        <v>61</v>
      </c>
      <c r="M152" s="8">
        <f>M150*30</f>
        <v>30</v>
      </c>
      <c r="N152" s="7" t="s">
        <v>61</v>
      </c>
      <c r="O152" s="18"/>
      <c r="P152" s="19"/>
      <c r="Q152" s="20"/>
    </row>
    <row r="153" spans="1:13" s="21" customFormat="1" ht="12.75" customHeight="1">
      <c r="A153" s="87"/>
      <c r="B153" s="16"/>
      <c r="C153" s="16"/>
      <c r="D153" s="17"/>
      <c r="E153" s="18"/>
      <c r="F153" s="18"/>
      <c r="G153" s="339" t="s">
        <v>243</v>
      </c>
      <c r="H153" s="340"/>
      <c r="I153" s="109"/>
      <c r="J153" s="109"/>
      <c r="K153" s="109"/>
      <c r="L153" s="109"/>
      <c r="M153" s="109"/>
    </row>
    <row r="154" spans="1:17" s="5" customFormat="1" ht="22.5" customHeight="1">
      <c r="A154" s="338" t="s">
        <v>30</v>
      </c>
      <c r="B154" s="338"/>
      <c r="C154" s="338"/>
      <c r="D154" s="338"/>
      <c r="E154" s="41"/>
      <c r="F154" s="41"/>
      <c r="G154" s="341"/>
      <c r="H154" s="342"/>
      <c r="I154" s="41"/>
      <c r="J154" s="41"/>
      <c r="K154" s="41"/>
      <c r="L154" s="41"/>
      <c r="M154" s="41"/>
      <c r="N154" s="41"/>
      <c r="O154" s="21"/>
      <c r="P154" s="21"/>
      <c r="Q154" s="20"/>
    </row>
    <row r="155" spans="1:17" s="5" customFormat="1" ht="58.5" customHeight="1">
      <c r="A155" s="334" t="s">
        <v>38</v>
      </c>
      <c r="B155" s="334"/>
      <c r="C155" s="335"/>
      <c r="D155" s="335"/>
      <c r="E155" s="344" t="s">
        <v>20</v>
      </c>
      <c r="F155" s="344"/>
      <c r="G155" s="345" t="s">
        <v>262</v>
      </c>
      <c r="H155" s="346"/>
      <c r="I155" s="336" t="s">
        <v>17</v>
      </c>
      <c r="J155" s="337"/>
      <c r="K155" s="350" t="s">
        <v>18</v>
      </c>
      <c r="L155" s="350"/>
      <c r="M155" s="336" t="s">
        <v>254</v>
      </c>
      <c r="N155" s="337"/>
      <c r="O155" s="110"/>
      <c r="P155" s="111"/>
      <c r="Q155" s="20"/>
    </row>
    <row r="156" spans="1:17" s="5" customFormat="1" ht="15" customHeight="1">
      <c r="A156" s="343"/>
      <c r="B156" s="343"/>
      <c r="C156" s="30">
        <f>IF($D147&gt;$D$5,0,(C143+('Breeding season'!C$17/'Lead-up period'!D$5)))</f>
        <v>1.5662089797387757</v>
      </c>
      <c r="D156" s="36" t="s">
        <v>4</v>
      </c>
      <c r="E156" s="8">
        <f>E150/5.6</f>
        <v>0.40680752720487673</v>
      </c>
      <c r="F156" s="7" t="s">
        <v>4</v>
      </c>
      <c r="G156" s="30">
        <f>G150/2</f>
        <v>0.50878125</v>
      </c>
      <c r="H156" s="106" t="s">
        <v>4</v>
      </c>
      <c r="I156" s="8">
        <f>I150</f>
        <v>3.48046875</v>
      </c>
      <c r="J156" s="7" t="s">
        <v>4</v>
      </c>
      <c r="K156" s="35">
        <f>K150</f>
        <v>1.0175625</v>
      </c>
      <c r="L156" s="33" t="s">
        <v>4</v>
      </c>
      <c r="M156" s="8">
        <f>M150</f>
        <v>1</v>
      </c>
      <c r="N156" s="34" t="s">
        <v>5</v>
      </c>
      <c r="O156" s="108"/>
      <c r="P156" s="17"/>
      <c r="Q156" s="20"/>
    </row>
    <row r="157" spans="1:17" s="5" customFormat="1" ht="15" customHeight="1">
      <c r="A157" s="335"/>
      <c r="B157" s="335"/>
      <c r="C157" s="35">
        <f>C156/3.5</f>
        <v>0.4474882799253645</v>
      </c>
      <c r="D157" s="33" t="s">
        <v>15</v>
      </c>
      <c r="E157" s="8">
        <f>E156/3.5</f>
        <v>0.11623072205853621</v>
      </c>
      <c r="F157" s="7" t="s">
        <v>15</v>
      </c>
      <c r="G157" s="30">
        <f>G150/2.5</f>
        <v>0.40702499999999997</v>
      </c>
      <c r="H157" s="117" t="s">
        <v>15</v>
      </c>
      <c r="I157" s="8">
        <f>I151</f>
        <v>1.3921875</v>
      </c>
      <c r="J157" s="7" t="s">
        <v>15</v>
      </c>
      <c r="K157" s="35">
        <f>K150/4</f>
        <v>0.254390625</v>
      </c>
      <c r="L157" s="33" t="s">
        <v>15</v>
      </c>
      <c r="M157" s="8">
        <f>M156/5</f>
        <v>0.2</v>
      </c>
      <c r="N157" s="7" t="s">
        <v>15</v>
      </c>
      <c r="O157" s="108"/>
      <c r="P157" s="17"/>
      <c r="Q157" s="20"/>
    </row>
    <row r="158" spans="1:17" s="5" customFormat="1" ht="12.75">
      <c r="A158" s="87"/>
      <c r="B158" s="87"/>
      <c r="C158" s="32">
        <f>C156/0.25</f>
        <v>6.264835918955103</v>
      </c>
      <c r="D158" s="106" t="s">
        <v>62</v>
      </c>
      <c r="E158" s="112">
        <f>E156/0.25</f>
        <v>1.627230108819507</v>
      </c>
      <c r="F158" s="7" t="s">
        <v>62</v>
      </c>
      <c r="G158" s="32">
        <f>G156*4</f>
        <v>2.035125</v>
      </c>
      <c r="H158" s="31" t="s">
        <v>62</v>
      </c>
      <c r="I158" s="112">
        <f>I152</f>
        <v>17.40234375</v>
      </c>
      <c r="J158" s="7" t="s">
        <v>62</v>
      </c>
      <c r="K158" s="32">
        <f>K156/0.25</f>
        <v>4.07025</v>
      </c>
      <c r="L158" s="106" t="s">
        <v>62</v>
      </c>
      <c r="M158" s="8">
        <f>M156*30</f>
        <v>30</v>
      </c>
      <c r="N158" s="7" t="s">
        <v>61</v>
      </c>
      <c r="O158" s="18"/>
      <c r="P158" s="19"/>
      <c r="Q158" s="20"/>
    </row>
    <row r="159" spans="1:16" ht="12.75">
      <c r="A159" s="87"/>
      <c r="B159" s="87"/>
      <c r="C159" s="127"/>
      <c r="D159" s="19"/>
      <c r="E159" s="127"/>
      <c r="F159" s="18"/>
      <c r="G159" s="127"/>
      <c r="H159" s="18"/>
      <c r="I159" s="127"/>
      <c r="J159" s="18"/>
      <c r="K159" s="127"/>
      <c r="L159" s="19"/>
      <c r="M159" s="18"/>
      <c r="N159" s="18"/>
      <c r="O159" s="18"/>
      <c r="P159" s="19"/>
    </row>
    <row r="160" spans="1:14" ht="18" customHeight="1">
      <c r="A160" s="385" t="s">
        <v>90</v>
      </c>
      <c r="B160" s="385"/>
      <c r="C160" s="144">
        <f>C147+7</f>
        <v>41084</v>
      </c>
      <c r="D160" s="143">
        <f>D147+1</f>
        <v>12</v>
      </c>
      <c r="E160" s="40"/>
      <c r="F160" s="40"/>
      <c r="G160" s="40"/>
      <c r="H160" s="40"/>
      <c r="I160" s="40"/>
      <c r="J160" s="40"/>
      <c r="K160" s="40"/>
      <c r="L160" s="40"/>
      <c r="M160" s="40"/>
      <c r="N160" s="40"/>
    </row>
    <row r="161" spans="1:14" ht="19.5" customHeight="1">
      <c r="A161" s="349" t="s">
        <v>35</v>
      </c>
      <c r="B161" s="349"/>
      <c r="C161" s="349"/>
      <c r="D161" s="349"/>
      <c r="E161" s="349"/>
      <c r="F161" s="349"/>
      <c r="G161" s="349"/>
      <c r="H161" s="349"/>
      <c r="I161" s="349"/>
      <c r="J161" s="349"/>
      <c r="K161" s="349"/>
      <c r="L161" s="349"/>
      <c r="M161" s="349"/>
      <c r="N161" s="349"/>
    </row>
    <row r="162" spans="1:17" s="5" customFormat="1" ht="78.75" customHeight="1">
      <c r="A162" s="351" t="s">
        <v>36</v>
      </c>
      <c r="B162" s="351"/>
      <c r="C162" s="351"/>
      <c r="D162" s="351"/>
      <c r="E162" s="344" t="s">
        <v>37</v>
      </c>
      <c r="F162" s="344"/>
      <c r="G162" s="345" t="s">
        <v>264</v>
      </c>
      <c r="H162" s="346"/>
      <c r="I162" s="336" t="s">
        <v>71</v>
      </c>
      <c r="J162" s="337"/>
      <c r="K162" s="345" t="s">
        <v>80</v>
      </c>
      <c r="L162" s="346"/>
      <c r="M162" s="336" t="s">
        <v>255</v>
      </c>
      <c r="N162" s="337"/>
      <c r="O162" s="110"/>
      <c r="P162" s="111"/>
      <c r="Q162" s="20"/>
    </row>
    <row r="163" spans="1:17" s="5" customFormat="1" ht="12.75">
      <c r="A163" s="347"/>
      <c r="B163" s="347"/>
      <c r="C163" s="32">
        <f>IF($D160&gt;$D$5,0,C150+(('Breeding season'!C$11-C$20)/D$5))</f>
        <v>36.38671875</v>
      </c>
      <c r="D163" s="33" t="s">
        <v>4</v>
      </c>
      <c r="E163" s="8">
        <f>IF($D160&gt;$D$5,0,E150)</f>
        <v>2.2781221523473096</v>
      </c>
      <c r="F163" s="7" t="s">
        <v>4</v>
      </c>
      <c r="G163" s="30">
        <f>IF($D160&gt;$D$5,0,G150)</f>
        <v>1.0175625</v>
      </c>
      <c r="H163" s="31" t="s">
        <v>5</v>
      </c>
      <c r="I163" s="8">
        <f>IF($D160&gt;$D$5,0,I150+('Breeding season'!I$11/'Lead-up period'!D$5))</f>
        <v>3.796875</v>
      </c>
      <c r="J163" s="7" t="s">
        <v>4</v>
      </c>
      <c r="K163" s="30">
        <f>IF($D160&gt;$D$5,0,K150)</f>
        <v>1.0175625</v>
      </c>
      <c r="L163" s="106" t="s">
        <v>5</v>
      </c>
      <c r="M163" s="8">
        <f>IF($D160&gt;$D$5,0,M150)</f>
        <v>1</v>
      </c>
      <c r="N163" s="34" t="s">
        <v>5</v>
      </c>
      <c r="O163" s="107"/>
      <c r="P163" s="19"/>
      <c r="Q163" s="20"/>
    </row>
    <row r="164" spans="1:17" s="5" customFormat="1" ht="12.75">
      <c r="A164" s="115"/>
      <c r="B164" s="115"/>
      <c r="C164" s="231">
        <f>C163/3.7</f>
        <v>9.83424831081081</v>
      </c>
      <c r="D164" s="367" t="s">
        <v>258</v>
      </c>
      <c r="E164" s="8">
        <f>E163/3.5</f>
        <v>0.6508920435278027</v>
      </c>
      <c r="F164" s="7" t="s">
        <v>15</v>
      </c>
      <c r="G164" s="30">
        <f>G163/5</f>
        <v>0.20351249999999999</v>
      </c>
      <c r="H164" s="31" t="s">
        <v>15</v>
      </c>
      <c r="I164" s="8">
        <f>I163/2.5</f>
        <v>1.51875</v>
      </c>
      <c r="J164" s="7" t="s">
        <v>15</v>
      </c>
      <c r="K164" s="30">
        <f>K163/5</f>
        <v>0.20351249999999999</v>
      </c>
      <c r="L164" s="31" t="s">
        <v>15</v>
      </c>
      <c r="M164" s="8">
        <f>M163/5</f>
        <v>0.2</v>
      </c>
      <c r="N164" s="7" t="s">
        <v>15</v>
      </c>
      <c r="O164" s="107"/>
      <c r="P164" s="19"/>
      <c r="Q164" s="20"/>
    </row>
    <row r="165" spans="1:17" s="5" customFormat="1" ht="12.75">
      <c r="A165" s="87"/>
      <c r="B165" s="87"/>
      <c r="C165" s="232"/>
      <c r="D165" s="367"/>
      <c r="E165" s="112">
        <f>E163/0.25</f>
        <v>9.112488609389239</v>
      </c>
      <c r="F165" s="7" t="s">
        <v>62</v>
      </c>
      <c r="G165" s="32">
        <f>G163*30</f>
        <v>30.526874999999997</v>
      </c>
      <c r="H165" s="31" t="s">
        <v>61</v>
      </c>
      <c r="I165" s="112">
        <f>I163/0.2</f>
        <v>18.984375</v>
      </c>
      <c r="J165" s="7" t="s">
        <v>62</v>
      </c>
      <c r="K165" s="32">
        <f>K163*30</f>
        <v>30.526874999999997</v>
      </c>
      <c r="L165" s="106" t="s">
        <v>61</v>
      </c>
      <c r="M165" s="8">
        <f>M163*30</f>
        <v>30</v>
      </c>
      <c r="N165" s="7" t="s">
        <v>61</v>
      </c>
      <c r="O165" s="18"/>
      <c r="P165" s="19"/>
      <c r="Q165" s="20"/>
    </row>
    <row r="166" spans="1:13" s="21" customFormat="1" ht="12.75" customHeight="1">
      <c r="A166" s="87"/>
      <c r="B166" s="16"/>
      <c r="C166" s="16"/>
      <c r="D166" s="17"/>
      <c r="E166" s="18"/>
      <c r="F166" s="18"/>
      <c r="G166" s="339" t="s">
        <v>243</v>
      </c>
      <c r="H166" s="340"/>
      <c r="I166" s="109"/>
      <c r="J166" s="109"/>
      <c r="K166" s="109"/>
      <c r="L166" s="109"/>
      <c r="M166" s="109"/>
    </row>
    <row r="167" spans="1:17" s="5" customFormat="1" ht="22.5" customHeight="1">
      <c r="A167" s="338" t="s">
        <v>30</v>
      </c>
      <c r="B167" s="338"/>
      <c r="C167" s="338"/>
      <c r="D167" s="338"/>
      <c r="E167" s="41"/>
      <c r="F167" s="41"/>
      <c r="G167" s="341"/>
      <c r="H167" s="342"/>
      <c r="I167" s="41"/>
      <c r="J167" s="41"/>
      <c r="K167" s="41"/>
      <c r="L167" s="41"/>
      <c r="M167" s="41"/>
      <c r="N167" s="41"/>
      <c r="O167" s="21"/>
      <c r="P167" s="21"/>
      <c r="Q167" s="20"/>
    </row>
    <row r="168" spans="1:17" s="5" customFormat="1" ht="58.5" customHeight="1">
      <c r="A168" s="334" t="s">
        <v>38</v>
      </c>
      <c r="B168" s="334"/>
      <c r="C168" s="335"/>
      <c r="D168" s="335"/>
      <c r="E168" s="344" t="s">
        <v>20</v>
      </c>
      <c r="F168" s="344"/>
      <c r="G168" s="345" t="s">
        <v>262</v>
      </c>
      <c r="H168" s="346"/>
      <c r="I168" s="336" t="s">
        <v>17</v>
      </c>
      <c r="J168" s="337"/>
      <c r="K168" s="350" t="s">
        <v>18</v>
      </c>
      <c r="L168" s="350"/>
      <c r="M168" s="336" t="s">
        <v>254</v>
      </c>
      <c r="N168" s="337"/>
      <c r="O168" s="110"/>
      <c r="P168" s="111"/>
      <c r="Q168" s="20"/>
    </row>
    <row r="169" spans="1:17" s="5" customFormat="1" ht="15" customHeight="1">
      <c r="A169" s="343"/>
      <c r="B169" s="343"/>
      <c r="C169" s="30">
        <f>IF($D160&gt;$D$5,0,(C156+('Breeding season'!C$17/'Lead-up period'!D$5)))</f>
        <v>1.6611307360865804</v>
      </c>
      <c r="D169" s="36" t="s">
        <v>4</v>
      </c>
      <c r="E169" s="8">
        <f>E163/5.6</f>
        <v>0.40680752720487673</v>
      </c>
      <c r="F169" s="7" t="s">
        <v>4</v>
      </c>
      <c r="G169" s="30">
        <f>G163/2</f>
        <v>0.50878125</v>
      </c>
      <c r="H169" s="106" t="s">
        <v>4</v>
      </c>
      <c r="I169" s="8">
        <f>I163</f>
        <v>3.796875</v>
      </c>
      <c r="J169" s="7" t="s">
        <v>4</v>
      </c>
      <c r="K169" s="35">
        <f>K163</f>
        <v>1.0175625</v>
      </c>
      <c r="L169" s="33" t="s">
        <v>4</v>
      </c>
      <c r="M169" s="8">
        <f>M163</f>
        <v>1</v>
      </c>
      <c r="N169" s="34" t="s">
        <v>5</v>
      </c>
      <c r="O169" s="108"/>
      <c r="P169" s="17"/>
      <c r="Q169" s="20"/>
    </row>
    <row r="170" spans="1:17" s="5" customFormat="1" ht="15" customHeight="1">
      <c r="A170" s="335"/>
      <c r="B170" s="335"/>
      <c r="C170" s="35">
        <f>C169/3.5</f>
        <v>0.47460878173902293</v>
      </c>
      <c r="D170" s="33" t="s">
        <v>15</v>
      </c>
      <c r="E170" s="8">
        <f>E169/3.5</f>
        <v>0.11623072205853621</v>
      </c>
      <c r="F170" s="7" t="s">
        <v>15</v>
      </c>
      <c r="G170" s="30">
        <f>G163/2.5</f>
        <v>0.40702499999999997</v>
      </c>
      <c r="H170" s="117" t="s">
        <v>15</v>
      </c>
      <c r="I170" s="8">
        <f>I164</f>
        <v>1.51875</v>
      </c>
      <c r="J170" s="7" t="s">
        <v>15</v>
      </c>
      <c r="K170" s="35">
        <f>K163/4</f>
        <v>0.254390625</v>
      </c>
      <c r="L170" s="33" t="s">
        <v>15</v>
      </c>
      <c r="M170" s="8">
        <f>M169/5</f>
        <v>0.2</v>
      </c>
      <c r="N170" s="7" t="s">
        <v>15</v>
      </c>
      <c r="O170" s="108"/>
      <c r="P170" s="17"/>
      <c r="Q170" s="20"/>
    </row>
    <row r="171" spans="1:17" s="5" customFormat="1" ht="12.75">
      <c r="A171" s="87"/>
      <c r="B171" s="87"/>
      <c r="C171" s="32">
        <f>C169/0.25</f>
        <v>6.644522944346321</v>
      </c>
      <c r="D171" s="106" t="s">
        <v>62</v>
      </c>
      <c r="E171" s="112">
        <f>E169/0.25</f>
        <v>1.627230108819507</v>
      </c>
      <c r="F171" s="7" t="s">
        <v>62</v>
      </c>
      <c r="G171" s="32">
        <f>G169*4</f>
        <v>2.035125</v>
      </c>
      <c r="H171" s="31" t="s">
        <v>62</v>
      </c>
      <c r="I171" s="112">
        <f>I165</f>
        <v>18.984375</v>
      </c>
      <c r="J171" s="7" t="s">
        <v>62</v>
      </c>
      <c r="K171" s="32">
        <f>K169/0.25</f>
        <v>4.07025</v>
      </c>
      <c r="L171" s="106" t="s">
        <v>62</v>
      </c>
      <c r="M171" s="8">
        <f>M169*30</f>
        <v>30</v>
      </c>
      <c r="N171" s="7" t="s">
        <v>61</v>
      </c>
      <c r="O171" s="18"/>
      <c r="P171" s="19"/>
      <c r="Q171" s="20"/>
    </row>
    <row r="172" spans="1:16" ht="12.75">
      <c r="A172" s="87"/>
      <c r="B172" s="87"/>
      <c r="C172" s="127"/>
      <c r="D172" s="19"/>
      <c r="E172" s="127"/>
      <c r="F172" s="18"/>
      <c r="G172" s="127"/>
      <c r="H172" s="18"/>
      <c r="I172" s="127"/>
      <c r="J172" s="18"/>
      <c r="K172" s="127"/>
      <c r="L172" s="19"/>
      <c r="M172" s="18"/>
      <c r="N172" s="18"/>
      <c r="O172" s="18"/>
      <c r="P172" s="19"/>
    </row>
    <row r="173" spans="1:14" s="5" customFormat="1" ht="12.75" customHeight="1">
      <c r="A173" s="329" t="s">
        <v>59</v>
      </c>
      <c r="B173" s="330"/>
      <c r="C173" s="330"/>
      <c r="D173" s="330"/>
      <c r="E173" s="330"/>
      <c r="F173" s="330"/>
      <c r="G173" s="330"/>
      <c r="H173" s="331"/>
      <c r="I173" s="13"/>
      <c r="J173" s="88"/>
      <c r="K173" s="88"/>
      <c r="L173" s="88"/>
      <c r="M173" s="88"/>
      <c r="N173" s="88"/>
    </row>
    <row r="174" spans="1:14" s="5" customFormat="1" ht="12.75" customHeight="1">
      <c r="A174" s="138"/>
      <c r="B174" s="139"/>
      <c r="C174" s="360" t="s">
        <v>16</v>
      </c>
      <c r="D174" s="360"/>
      <c r="E174" s="332" t="s">
        <v>8</v>
      </c>
      <c r="F174" s="353"/>
      <c r="G174" s="358" t="s">
        <v>239</v>
      </c>
      <c r="H174" s="359"/>
      <c r="I174" s="332" t="s">
        <v>17</v>
      </c>
      <c r="J174" s="353"/>
      <c r="K174" s="358" t="s">
        <v>9</v>
      </c>
      <c r="L174" s="359"/>
      <c r="M174" s="332" t="s">
        <v>252</v>
      </c>
      <c r="N174" s="333"/>
    </row>
    <row r="175" spans="1:14" ht="12.75">
      <c r="A175" s="392"/>
      <c r="B175" s="355"/>
      <c r="C175" s="131">
        <f>(C20+C33+C46+C59+C72+C85+C98+C111+C124+C137+C150+C163)*7</f>
        <v>2325.5859375</v>
      </c>
      <c r="D175" s="132" t="s">
        <v>4</v>
      </c>
      <c r="E175" s="133">
        <f>(E20+E33+E46+E59+E72+E85+E98+E111+E124+E137+E150+E163)*7</f>
        <v>191.36226079717397</v>
      </c>
      <c r="F175" s="134" t="s">
        <v>4</v>
      </c>
      <c r="G175" s="131">
        <f>(G20+G33+G46+G59+G72+G85+G98+G111+G124+G137+G150+G163)*1</f>
        <v>12.210750000000003</v>
      </c>
      <c r="H175" s="132" t="s">
        <v>5</v>
      </c>
      <c r="I175" s="133">
        <f>(I20+I33+I46+I59+I72+I85+I98+I111+I124+I137+I150+I163)*7</f>
        <v>172.7578125</v>
      </c>
      <c r="J175" s="134" t="s">
        <v>4</v>
      </c>
      <c r="K175" s="131">
        <f>(K20+K33)*7+(K46+K59+K72+K85+K98+K111+K124+K137+K150+K163)</f>
        <v>24.4215</v>
      </c>
      <c r="L175" s="132" t="s">
        <v>5</v>
      </c>
      <c r="M175" s="133">
        <f>(M20+M33+M46+M59+M72+M85+M98+M111+M124+M137+M150+M163)*7</f>
        <v>84</v>
      </c>
      <c r="N175" s="134" t="s">
        <v>5</v>
      </c>
    </row>
    <row r="176" spans="1:14" ht="12.75">
      <c r="A176" s="137"/>
      <c r="B176" s="140"/>
      <c r="C176" s="360" t="s">
        <v>91</v>
      </c>
      <c r="D176" s="360"/>
      <c r="E176" s="375" t="s">
        <v>92</v>
      </c>
      <c r="F176" s="375"/>
      <c r="G176" s="365" t="s">
        <v>262</v>
      </c>
      <c r="H176" s="366"/>
      <c r="I176" s="356"/>
      <c r="J176" s="357"/>
      <c r="K176" s="360" t="s">
        <v>19</v>
      </c>
      <c r="L176" s="360"/>
      <c r="M176" s="88"/>
      <c r="N176" s="88"/>
    </row>
    <row r="177" spans="1:14" ht="12.75">
      <c r="A177" s="392"/>
      <c r="B177" s="355"/>
      <c r="C177" s="131">
        <f>(C26+C39+C52+C65+C78+C91+C104+C117+C130+C143+C156+C169)*7</f>
        <v>95.681130398587</v>
      </c>
      <c r="D177" s="132" t="s">
        <v>4</v>
      </c>
      <c r="E177" s="133">
        <f>E175/5.6</f>
        <v>34.17183228520964</v>
      </c>
      <c r="F177" s="134" t="s">
        <v>4</v>
      </c>
      <c r="G177" s="237">
        <f>G169+G156+G143+G130+G117+G104+G91+G78+G65+G52+G39+G26</f>
        <v>6.105375000000001</v>
      </c>
      <c r="H177" s="236" t="s">
        <v>4</v>
      </c>
      <c r="I177" s="135"/>
      <c r="J177" s="136"/>
      <c r="K177" s="131">
        <f>K175</f>
        <v>24.4215</v>
      </c>
      <c r="L177" s="132" t="s">
        <v>4</v>
      </c>
      <c r="M177" s="88"/>
      <c r="N177" s="88"/>
    </row>
    <row r="178" spans="1:16" s="21" customFormat="1" ht="22.5" customHeight="1">
      <c r="A178" s="87"/>
      <c r="B178" s="87"/>
      <c r="C178" s="127"/>
      <c r="D178" s="19"/>
      <c r="E178" s="127"/>
      <c r="F178" s="18"/>
      <c r="G178" s="378" t="s">
        <v>26</v>
      </c>
      <c r="H178" s="379"/>
      <c r="I178" s="127"/>
      <c r="J178" s="18"/>
      <c r="K178" s="127"/>
      <c r="L178" s="19"/>
      <c r="M178" s="18"/>
      <c r="N178" s="18"/>
      <c r="O178" s="18"/>
      <c r="P178" s="19"/>
    </row>
    <row r="179" spans="1:16" s="21" customFormat="1" ht="22.5" customHeight="1">
      <c r="A179" s="87"/>
      <c r="B179" s="87"/>
      <c r="C179" s="127"/>
      <c r="D179" s="19"/>
      <c r="E179" s="127"/>
      <c r="F179" s="18"/>
      <c r="G179" s="380"/>
      <c r="H179" s="381"/>
      <c r="I179" s="127"/>
      <c r="J179" s="18"/>
      <c r="K179" s="127"/>
      <c r="L179" s="19"/>
      <c r="M179" s="18"/>
      <c r="N179" s="18"/>
      <c r="O179" s="18"/>
      <c r="P179" s="19"/>
    </row>
    <row r="180" spans="1:16" s="21" customFormat="1" ht="12.75">
      <c r="A180" s="87"/>
      <c r="B180" s="87"/>
      <c r="C180" s="127"/>
      <c r="D180" s="19"/>
      <c r="E180" s="127"/>
      <c r="F180" s="18"/>
      <c r="G180" s="127"/>
      <c r="H180" s="18"/>
      <c r="I180" s="127"/>
      <c r="J180" s="18"/>
      <c r="K180" s="127"/>
      <c r="L180" s="19"/>
      <c r="M180" s="18"/>
      <c r="N180" s="18"/>
      <c r="O180" s="18"/>
      <c r="P180" s="19"/>
    </row>
    <row r="182" spans="1:11" ht="12.75">
      <c r="A182" s="371" t="s">
        <v>240</v>
      </c>
      <c r="B182" s="372"/>
      <c r="C182" s="372"/>
      <c r="D182" s="372"/>
      <c r="E182" s="372"/>
      <c r="F182" s="372"/>
      <c r="G182" s="372"/>
      <c r="H182" s="372"/>
      <c r="I182" s="372"/>
      <c r="J182" s="372"/>
      <c r="K182" s="389"/>
    </row>
    <row r="183" spans="1:11" ht="12.75">
      <c r="A183" s="368"/>
      <c r="B183" s="369"/>
      <c r="C183" s="369"/>
      <c r="D183" s="369"/>
      <c r="E183" s="369"/>
      <c r="F183" s="369"/>
      <c r="G183" s="369"/>
      <c r="H183" s="369"/>
      <c r="I183" s="369"/>
      <c r="J183" s="369"/>
      <c r="K183" s="390"/>
    </row>
    <row r="184" spans="1:11" ht="12.75">
      <c r="A184" s="373"/>
      <c r="B184" s="374"/>
      <c r="C184" s="374"/>
      <c r="D184" s="374"/>
      <c r="E184" s="374"/>
      <c r="F184" s="374"/>
      <c r="G184" s="374"/>
      <c r="H184" s="374"/>
      <c r="I184" s="374"/>
      <c r="J184" s="374"/>
      <c r="K184" s="391"/>
    </row>
  </sheetData>
  <sheetProtection/>
  <mergeCells count="265">
    <mergeCell ref="K9:L9"/>
    <mergeCell ref="M9:N9"/>
    <mergeCell ref="C11:D11"/>
    <mergeCell ref="E11:F11"/>
    <mergeCell ref="G13:H14"/>
    <mergeCell ref="K11:L11"/>
    <mergeCell ref="C9:D9"/>
    <mergeCell ref="E9:F9"/>
    <mergeCell ref="G9:H9"/>
    <mergeCell ref="I9:J9"/>
    <mergeCell ref="G162:H162"/>
    <mergeCell ref="I162:J162"/>
    <mergeCell ref="K162:L162"/>
    <mergeCell ref="M162:N162"/>
    <mergeCell ref="K168:L168"/>
    <mergeCell ref="M168:N168"/>
    <mergeCell ref="I168:J168"/>
    <mergeCell ref="A169:B170"/>
    <mergeCell ref="D164:D165"/>
    <mergeCell ref="G166:H167"/>
    <mergeCell ref="A167:D167"/>
    <mergeCell ref="A168:D168"/>
    <mergeCell ref="E168:F168"/>
    <mergeCell ref="G168:H168"/>
    <mergeCell ref="I155:J155"/>
    <mergeCell ref="K155:L155"/>
    <mergeCell ref="M155:N155"/>
    <mergeCell ref="A156:B157"/>
    <mergeCell ref="A163:B163"/>
    <mergeCell ref="G153:H154"/>
    <mergeCell ref="A154:D154"/>
    <mergeCell ref="A155:D155"/>
    <mergeCell ref="E155:F155"/>
    <mergeCell ref="G155:H155"/>
    <mergeCell ref="A160:B160"/>
    <mergeCell ref="A161:N161"/>
    <mergeCell ref="A162:D162"/>
    <mergeCell ref="E162:F162"/>
    <mergeCell ref="D151:D152"/>
    <mergeCell ref="A147:B147"/>
    <mergeCell ref="A148:N148"/>
    <mergeCell ref="A149:D149"/>
    <mergeCell ref="E149:F149"/>
    <mergeCell ref="G149:H149"/>
    <mergeCell ref="I149:J149"/>
    <mergeCell ref="K149:L149"/>
    <mergeCell ref="M149:N149"/>
    <mergeCell ref="A150:B150"/>
    <mergeCell ref="G140:H141"/>
    <mergeCell ref="A141:D141"/>
    <mergeCell ref="A142:D142"/>
    <mergeCell ref="E142:F142"/>
    <mergeCell ref="G142:H142"/>
    <mergeCell ref="I142:J142"/>
    <mergeCell ref="K142:L142"/>
    <mergeCell ref="M142:N142"/>
    <mergeCell ref="A143:B144"/>
    <mergeCell ref="D138:D139"/>
    <mergeCell ref="A134:B134"/>
    <mergeCell ref="A135:N135"/>
    <mergeCell ref="A136:D136"/>
    <mergeCell ref="E136:F136"/>
    <mergeCell ref="G136:H136"/>
    <mergeCell ref="I136:J136"/>
    <mergeCell ref="K136:L136"/>
    <mergeCell ref="M136:N136"/>
    <mergeCell ref="A137:B137"/>
    <mergeCell ref="M123:N123"/>
    <mergeCell ref="A124:B124"/>
    <mergeCell ref="A129:D129"/>
    <mergeCell ref="E129:F129"/>
    <mergeCell ref="G129:H129"/>
    <mergeCell ref="I129:J129"/>
    <mergeCell ref="K129:L129"/>
    <mergeCell ref="I123:J123"/>
    <mergeCell ref="K123:L123"/>
    <mergeCell ref="M129:N129"/>
    <mergeCell ref="A130:B131"/>
    <mergeCell ref="D125:D126"/>
    <mergeCell ref="A121:B121"/>
    <mergeCell ref="A122:N122"/>
    <mergeCell ref="A123:D123"/>
    <mergeCell ref="E123:F123"/>
    <mergeCell ref="G123:H123"/>
    <mergeCell ref="G127:H128"/>
    <mergeCell ref="A128:D128"/>
    <mergeCell ref="G110:H110"/>
    <mergeCell ref="I110:J110"/>
    <mergeCell ref="K110:L110"/>
    <mergeCell ref="M110:N110"/>
    <mergeCell ref="K116:L116"/>
    <mergeCell ref="M116:N116"/>
    <mergeCell ref="A117:B118"/>
    <mergeCell ref="D112:D113"/>
    <mergeCell ref="G114:H115"/>
    <mergeCell ref="A115:D115"/>
    <mergeCell ref="A116:D116"/>
    <mergeCell ref="E116:F116"/>
    <mergeCell ref="G116:H116"/>
    <mergeCell ref="I116:J116"/>
    <mergeCell ref="I103:J103"/>
    <mergeCell ref="K103:L103"/>
    <mergeCell ref="M103:N103"/>
    <mergeCell ref="A104:B105"/>
    <mergeCell ref="A111:B111"/>
    <mergeCell ref="G101:H102"/>
    <mergeCell ref="A102:D102"/>
    <mergeCell ref="A103:D103"/>
    <mergeCell ref="E103:F103"/>
    <mergeCell ref="G103:H103"/>
    <mergeCell ref="A108:B108"/>
    <mergeCell ref="A109:N109"/>
    <mergeCell ref="A110:D110"/>
    <mergeCell ref="E110:F110"/>
    <mergeCell ref="D99:D100"/>
    <mergeCell ref="A95:B95"/>
    <mergeCell ref="A96:N96"/>
    <mergeCell ref="A97:D97"/>
    <mergeCell ref="E97:F97"/>
    <mergeCell ref="G97:H97"/>
    <mergeCell ref="I97:J97"/>
    <mergeCell ref="K97:L97"/>
    <mergeCell ref="M97:N97"/>
    <mergeCell ref="A98:B98"/>
    <mergeCell ref="I90:J90"/>
    <mergeCell ref="K90:L90"/>
    <mergeCell ref="M90:N90"/>
    <mergeCell ref="A91:B92"/>
    <mergeCell ref="G88:H89"/>
    <mergeCell ref="A89:D89"/>
    <mergeCell ref="A90:D90"/>
    <mergeCell ref="E90:F90"/>
    <mergeCell ref="G90:H90"/>
    <mergeCell ref="D86:D87"/>
    <mergeCell ref="A82:B82"/>
    <mergeCell ref="A83:N83"/>
    <mergeCell ref="A84:D84"/>
    <mergeCell ref="E84:F84"/>
    <mergeCell ref="G84:H84"/>
    <mergeCell ref="I84:J84"/>
    <mergeCell ref="K84:L84"/>
    <mergeCell ref="M84:N84"/>
    <mergeCell ref="A85:B85"/>
    <mergeCell ref="M71:N71"/>
    <mergeCell ref="A72:B72"/>
    <mergeCell ref="G75:H76"/>
    <mergeCell ref="A76:D76"/>
    <mergeCell ref="A77:D77"/>
    <mergeCell ref="E77:F77"/>
    <mergeCell ref="G77:H77"/>
    <mergeCell ref="M77:N77"/>
    <mergeCell ref="K77:L77"/>
    <mergeCell ref="A78:B79"/>
    <mergeCell ref="D73:D74"/>
    <mergeCell ref="A69:B69"/>
    <mergeCell ref="A70:N70"/>
    <mergeCell ref="A71:D71"/>
    <mergeCell ref="E71:F71"/>
    <mergeCell ref="G71:H71"/>
    <mergeCell ref="I71:J71"/>
    <mergeCell ref="K71:L71"/>
    <mergeCell ref="I77:J77"/>
    <mergeCell ref="A58:D58"/>
    <mergeCell ref="E58:F58"/>
    <mergeCell ref="G58:H58"/>
    <mergeCell ref="I58:J58"/>
    <mergeCell ref="K64:L64"/>
    <mergeCell ref="M64:N64"/>
    <mergeCell ref="I64:J64"/>
    <mergeCell ref="A65:B66"/>
    <mergeCell ref="D60:D61"/>
    <mergeCell ref="G62:H63"/>
    <mergeCell ref="A63:D63"/>
    <mergeCell ref="A64:D64"/>
    <mergeCell ref="E64:F64"/>
    <mergeCell ref="G64:H64"/>
    <mergeCell ref="A37:D37"/>
    <mergeCell ref="K51:L51"/>
    <mergeCell ref="M51:N51"/>
    <mergeCell ref="G36:H37"/>
    <mergeCell ref="M38:N38"/>
    <mergeCell ref="K38:L38"/>
    <mergeCell ref="A46:B46"/>
    <mergeCell ref="G49:H50"/>
    <mergeCell ref="A50:D50"/>
    <mergeCell ref="A51:D51"/>
    <mergeCell ref="A173:H173"/>
    <mergeCell ref="K58:L58"/>
    <mergeCell ref="M58:N58"/>
    <mergeCell ref="M45:N45"/>
    <mergeCell ref="A59:B59"/>
    <mergeCell ref="A52:B53"/>
    <mergeCell ref="E51:F51"/>
    <mergeCell ref="G51:H51"/>
    <mergeCell ref="A56:B56"/>
    <mergeCell ref="A57:N57"/>
    <mergeCell ref="G38:H38"/>
    <mergeCell ref="I38:J38"/>
    <mergeCell ref="K45:L45"/>
    <mergeCell ref="I51:J51"/>
    <mergeCell ref="A39:B40"/>
    <mergeCell ref="A38:D38"/>
    <mergeCell ref="A43:B43"/>
    <mergeCell ref="E38:F38"/>
    <mergeCell ref="A177:B177"/>
    <mergeCell ref="I174:J174"/>
    <mergeCell ref="M174:N174"/>
    <mergeCell ref="A175:B175"/>
    <mergeCell ref="C174:D174"/>
    <mergeCell ref="E174:F174"/>
    <mergeCell ref="G174:H174"/>
    <mergeCell ref="K176:L176"/>
    <mergeCell ref="C176:D176"/>
    <mergeCell ref="K174:L174"/>
    <mergeCell ref="M25:N25"/>
    <mergeCell ref="A26:B27"/>
    <mergeCell ref="D34:D35"/>
    <mergeCell ref="A182:K184"/>
    <mergeCell ref="D47:D48"/>
    <mergeCell ref="A44:N44"/>
    <mergeCell ref="A45:D45"/>
    <mergeCell ref="E45:F45"/>
    <mergeCell ref="G45:H45"/>
    <mergeCell ref="I45:J45"/>
    <mergeCell ref="M32:N32"/>
    <mergeCell ref="A33:B33"/>
    <mergeCell ref="A32:D32"/>
    <mergeCell ref="E32:F32"/>
    <mergeCell ref="G32:H32"/>
    <mergeCell ref="I32:J32"/>
    <mergeCell ref="K32:L32"/>
    <mergeCell ref="A17:B17"/>
    <mergeCell ref="A25:D25"/>
    <mergeCell ref="E25:F25"/>
    <mergeCell ref="D21:D22"/>
    <mergeCell ref="K25:L25"/>
    <mergeCell ref="I25:J25"/>
    <mergeCell ref="A24:D24"/>
    <mergeCell ref="A18:N18"/>
    <mergeCell ref="A19:D19"/>
    <mergeCell ref="E19:F19"/>
    <mergeCell ref="G19:H19"/>
    <mergeCell ref="I19:J19"/>
    <mergeCell ref="K19:L19"/>
    <mergeCell ref="M19:N19"/>
    <mergeCell ref="A31:N31"/>
    <mergeCell ref="A20:B20"/>
    <mergeCell ref="A1:N1"/>
    <mergeCell ref="A2:C2"/>
    <mergeCell ref="E2:J6"/>
    <mergeCell ref="A3:C3"/>
    <mergeCell ref="A4:C4"/>
    <mergeCell ref="A5:C5"/>
    <mergeCell ref="A6:C6"/>
    <mergeCell ref="A16:N16"/>
    <mergeCell ref="G11:H11"/>
    <mergeCell ref="G176:H176"/>
    <mergeCell ref="A7:N7"/>
    <mergeCell ref="E176:F176"/>
    <mergeCell ref="G178:H179"/>
    <mergeCell ref="I176:J176"/>
    <mergeCell ref="A8:F8"/>
    <mergeCell ref="G25:H25"/>
    <mergeCell ref="G23:H24"/>
    <mergeCell ref="A30:B30"/>
  </mergeCells>
  <printOptions horizontalCentered="1" verticalCentered="1"/>
  <pageMargins left="0.7480314960629921" right="0.7480314960629921" top="0.75" bottom="0.984251968503937" header="0.5118110236220472" footer="0.5118110236220472"/>
  <pageSetup fitToHeight="12" horizontalDpi="600" verticalDpi="600" orientation="landscape" paperSize="9" r:id="rId1"/>
  <headerFooter alignWithMargins="0">
    <oddFooter>&amp;L&amp;F&amp;C&amp;A&amp;R&amp;D</oddFooter>
  </headerFooter>
  <rowBreaks count="12" manualBreakCount="12">
    <brk id="16" max="13" man="1"/>
    <brk id="29" max="255" man="1"/>
    <brk id="42" max="255" man="1"/>
    <brk id="55" max="255" man="1"/>
    <brk id="68" max="255" man="1"/>
    <brk id="81" max="255" man="1"/>
    <brk id="94" max="255" man="1"/>
    <brk id="107" max="13" man="1"/>
    <brk id="120" max="13" man="1"/>
    <brk id="133" max="13" man="1"/>
    <brk id="146" max="13" man="1"/>
    <brk id="15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Q37"/>
  <sheetViews>
    <sheetView zoomScalePageLayoutView="0" workbookViewId="0" topLeftCell="A10">
      <selection activeCell="G26" sqref="G26:H27"/>
    </sheetView>
  </sheetViews>
  <sheetFormatPr defaultColWidth="7.8515625" defaultRowHeight="12.75"/>
  <cols>
    <col min="1" max="2" width="10.28125" style="20" customWidth="1"/>
    <col min="3" max="4" width="9.7109375" style="20" customWidth="1"/>
    <col min="5" max="12" width="7.7109375" style="20" customWidth="1"/>
    <col min="13" max="14" width="7.7109375" style="6" customWidth="1"/>
    <col min="15" max="16384" width="7.8515625" style="20" customWidth="1"/>
  </cols>
  <sheetData>
    <row r="1" spans="1:14" s="89" customFormat="1" ht="35.25" customHeight="1">
      <c r="A1" s="370" t="s">
        <v>68</v>
      </c>
      <c r="B1" s="370"/>
      <c r="C1" s="370"/>
      <c r="D1" s="370"/>
      <c r="E1" s="370"/>
      <c r="F1" s="370"/>
      <c r="G1" s="370"/>
      <c r="H1" s="370"/>
      <c r="I1" s="370"/>
      <c r="J1" s="370"/>
      <c r="K1" s="370"/>
      <c r="L1" s="370"/>
      <c r="M1" s="370"/>
      <c r="N1" s="370"/>
    </row>
    <row r="2" spans="1:14" ht="18" customHeight="1">
      <c r="A2" s="348" t="s">
        <v>65</v>
      </c>
      <c r="B2" s="348"/>
      <c r="C2" s="348"/>
      <c r="D2" s="102">
        <f>'Base data'!B23</f>
        <v>41091</v>
      </c>
      <c r="E2" s="388" t="s">
        <v>72</v>
      </c>
      <c r="F2" s="388"/>
      <c r="G2" s="388"/>
      <c r="H2" s="388"/>
      <c r="I2" s="388"/>
      <c r="J2" s="388"/>
      <c r="M2" s="20"/>
      <c r="N2" s="20"/>
    </row>
    <row r="3" spans="1:14" ht="18" customHeight="1">
      <c r="A3" s="348" t="s">
        <v>54</v>
      </c>
      <c r="B3" s="348"/>
      <c r="C3" s="348"/>
      <c r="D3" s="102">
        <f>'Base data'!B26</f>
        <v>41182</v>
      </c>
      <c r="E3" s="388"/>
      <c r="F3" s="388"/>
      <c r="G3" s="388"/>
      <c r="H3" s="388"/>
      <c r="I3" s="388"/>
      <c r="J3" s="388"/>
      <c r="M3" s="20"/>
      <c r="N3" s="20"/>
    </row>
    <row r="4" spans="1:14" ht="18" customHeight="1">
      <c r="A4" s="348" t="s">
        <v>55</v>
      </c>
      <c r="B4" s="348"/>
      <c r="C4" s="348"/>
      <c r="D4" s="103">
        <f>'Base data'!C25</f>
        <v>91</v>
      </c>
      <c r="E4" s="388"/>
      <c r="F4" s="388"/>
      <c r="G4" s="388"/>
      <c r="H4" s="388"/>
      <c r="I4" s="388"/>
      <c r="J4" s="388"/>
      <c r="M4" s="20"/>
      <c r="N4" s="20"/>
    </row>
    <row r="5" spans="1:14" ht="18" customHeight="1">
      <c r="A5" s="348" t="s">
        <v>56</v>
      </c>
      <c r="B5" s="348"/>
      <c r="C5" s="348"/>
      <c r="D5" s="104">
        <f>'Base data'!C26</f>
        <v>13</v>
      </c>
      <c r="E5" s="388"/>
      <c r="F5" s="388"/>
      <c r="G5" s="388"/>
      <c r="H5" s="388"/>
      <c r="I5" s="388"/>
      <c r="J5" s="388"/>
      <c r="M5" s="20"/>
      <c r="N5" s="20"/>
    </row>
    <row r="6" spans="1:14" ht="18" customHeight="1">
      <c r="A6" s="348" t="s">
        <v>58</v>
      </c>
      <c r="B6" s="348"/>
      <c r="C6" s="348"/>
      <c r="D6" s="105">
        <f>'Base data'!B10</f>
        <v>151.875</v>
      </c>
      <c r="E6" s="388"/>
      <c r="F6" s="388"/>
      <c r="G6" s="388"/>
      <c r="H6" s="388"/>
      <c r="I6" s="388"/>
      <c r="J6" s="388"/>
      <c r="M6" s="20"/>
      <c r="N6" s="20"/>
    </row>
    <row r="7" spans="1:14" ht="27" customHeight="1">
      <c r="A7" s="352" t="s">
        <v>66</v>
      </c>
      <c r="B7" s="352"/>
      <c r="C7" s="352"/>
      <c r="D7" s="352"/>
      <c r="E7" s="352"/>
      <c r="F7" s="352"/>
      <c r="G7" s="352"/>
      <c r="H7" s="352"/>
      <c r="I7" s="352"/>
      <c r="J7" s="352"/>
      <c r="K7" s="352"/>
      <c r="L7" s="352"/>
      <c r="M7" s="352"/>
      <c r="N7" s="352"/>
    </row>
    <row r="8" spans="1:14" ht="18" customHeight="1">
      <c r="A8" s="352" t="s">
        <v>60</v>
      </c>
      <c r="B8" s="352"/>
      <c r="C8" s="352"/>
      <c r="D8" s="352"/>
      <c r="E8" s="352"/>
      <c r="F8" s="352"/>
      <c r="G8" s="352"/>
      <c r="H8" s="352"/>
      <c r="I8" s="352"/>
      <c r="J8" s="352"/>
      <c r="K8" s="352"/>
      <c r="L8" s="352"/>
      <c r="M8" s="352"/>
      <c r="N8" s="352"/>
    </row>
    <row r="9" spans="1:14" ht="19.5" customHeight="1">
      <c r="A9" s="349" t="s">
        <v>35</v>
      </c>
      <c r="B9" s="349"/>
      <c r="C9" s="349"/>
      <c r="D9" s="349"/>
      <c r="E9" s="349"/>
      <c r="F9" s="349"/>
      <c r="G9" s="349"/>
      <c r="H9" s="349"/>
      <c r="I9" s="349"/>
      <c r="J9" s="349"/>
      <c r="K9" s="349"/>
      <c r="L9" s="349"/>
      <c r="M9" s="349"/>
      <c r="N9" s="349"/>
    </row>
    <row r="10" spans="1:17" s="5" customFormat="1" ht="41.25" customHeight="1">
      <c r="A10" s="351" t="s">
        <v>36</v>
      </c>
      <c r="B10" s="351"/>
      <c r="C10" s="351"/>
      <c r="D10" s="351"/>
      <c r="E10" s="344" t="s">
        <v>37</v>
      </c>
      <c r="F10" s="344"/>
      <c r="G10" s="345" t="s">
        <v>265</v>
      </c>
      <c r="H10" s="346"/>
      <c r="I10" s="336" t="s">
        <v>71</v>
      </c>
      <c r="J10" s="337"/>
      <c r="K10" s="345" t="s">
        <v>70</v>
      </c>
      <c r="L10" s="346"/>
      <c r="M10" s="336" t="s">
        <v>256</v>
      </c>
      <c r="N10" s="337"/>
      <c r="O10" s="110"/>
      <c r="P10" s="111"/>
      <c r="Q10" s="20"/>
    </row>
    <row r="11" spans="1:17" s="5" customFormat="1" ht="12.75">
      <c r="A11" s="347" t="s">
        <v>67</v>
      </c>
      <c r="B11" s="347"/>
      <c r="C11" s="32">
        <f>D6*0.25</f>
        <v>37.96875</v>
      </c>
      <c r="D11" s="33" t="s">
        <v>4</v>
      </c>
      <c r="E11" s="113">
        <f>D6*4000/266667</f>
        <v>2.2781221523473096</v>
      </c>
      <c r="F11" s="7" t="s">
        <v>4</v>
      </c>
      <c r="G11" s="30">
        <f>D6*0.0067</f>
        <v>1.0175625</v>
      </c>
      <c r="H11" s="31" t="s">
        <v>5</v>
      </c>
      <c r="I11" s="8">
        <f>D6*0.025</f>
        <v>3.796875</v>
      </c>
      <c r="J11" s="7" t="s">
        <v>4</v>
      </c>
      <c r="K11" s="30">
        <f>D6*0.0067</f>
        <v>1.0175625</v>
      </c>
      <c r="L11" s="106" t="s">
        <v>5</v>
      </c>
      <c r="M11" s="37">
        <f>'Base data'!B8*0.5/1000</f>
        <v>1</v>
      </c>
      <c r="N11" s="34" t="s">
        <v>5</v>
      </c>
      <c r="O11" s="107"/>
      <c r="P11" s="19"/>
      <c r="Q11" s="20"/>
    </row>
    <row r="12" spans="1:17" s="5" customFormat="1" ht="12.75">
      <c r="A12" s="115"/>
      <c r="B12" s="115"/>
      <c r="C12" s="231">
        <f>C11/3.7</f>
        <v>10.261824324324325</v>
      </c>
      <c r="D12" s="367" t="s">
        <v>258</v>
      </c>
      <c r="E12" s="8">
        <f>E11/3.5</f>
        <v>0.6508920435278027</v>
      </c>
      <c r="F12" s="7" t="s">
        <v>15</v>
      </c>
      <c r="G12" s="30">
        <f>G11/5</f>
        <v>0.20351249999999999</v>
      </c>
      <c r="H12" s="31" t="s">
        <v>15</v>
      </c>
      <c r="I12" s="8">
        <f>I11/2.5</f>
        <v>1.51875</v>
      </c>
      <c r="J12" s="7" t="s">
        <v>15</v>
      </c>
      <c r="K12" s="30">
        <f>K11/5</f>
        <v>0.20351249999999999</v>
      </c>
      <c r="L12" s="31" t="s">
        <v>15</v>
      </c>
      <c r="M12" s="8">
        <f>M11/5</f>
        <v>0.2</v>
      </c>
      <c r="N12" s="7" t="s">
        <v>15</v>
      </c>
      <c r="O12" s="107"/>
      <c r="P12" s="19"/>
      <c r="Q12" s="20"/>
    </row>
    <row r="13" spans="1:17" s="5" customFormat="1" ht="12.75">
      <c r="A13" s="87"/>
      <c r="B13" s="87"/>
      <c r="C13" s="232"/>
      <c r="D13" s="367"/>
      <c r="E13" s="112">
        <f>E11/0.25</f>
        <v>9.112488609389239</v>
      </c>
      <c r="F13" s="7" t="s">
        <v>62</v>
      </c>
      <c r="G13" s="32">
        <f>G11*30</f>
        <v>30.526874999999997</v>
      </c>
      <c r="H13" s="31" t="s">
        <v>61</v>
      </c>
      <c r="I13" s="112">
        <f>I11/0.2</f>
        <v>18.984375</v>
      </c>
      <c r="J13" s="7" t="s">
        <v>62</v>
      </c>
      <c r="K13" s="32">
        <f>K11*30</f>
        <v>30.526874999999997</v>
      </c>
      <c r="L13" s="106" t="s">
        <v>61</v>
      </c>
      <c r="M13" s="8">
        <f>M11*30</f>
        <v>30</v>
      </c>
      <c r="N13" s="7" t="s">
        <v>61</v>
      </c>
      <c r="O13" s="18"/>
      <c r="P13" s="19"/>
      <c r="Q13" s="20"/>
    </row>
    <row r="14" spans="1:13" s="21" customFormat="1" ht="12.75" customHeight="1">
      <c r="A14" s="87"/>
      <c r="B14" s="16"/>
      <c r="C14" s="16"/>
      <c r="D14" s="17"/>
      <c r="E14" s="18"/>
      <c r="F14" s="18"/>
      <c r="G14" s="404"/>
      <c r="H14" s="405"/>
      <c r="I14" s="109"/>
      <c r="J14" s="109"/>
      <c r="K14" s="109"/>
      <c r="L14" s="109"/>
      <c r="M14" s="109"/>
    </row>
    <row r="15" spans="1:17" s="5" customFormat="1" ht="22.5" customHeight="1">
      <c r="A15" s="338" t="s">
        <v>30</v>
      </c>
      <c r="B15" s="338"/>
      <c r="C15" s="338"/>
      <c r="D15" s="338"/>
      <c r="E15" s="41"/>
      <c r="F15" s="41"/>
      <c r="G15" s="406"/>
      <c r="H15" s="407"/>
      <c r="I15" s="41"/>
      <c r="J15" s="41"/>
      <c r="K15" s="41"/>
      <c r="L15" s="41"/>
      <c r="M15" s="41"/>
      <c r="N15" s="41"/>
      <c r="O15" s="21"/>
      <c r="P15" s="21"/>
      <c r="Q15" s="20"/>
    </row>
    <row r="16" spans="1:17" s="5" customFormat="1" ht="58.5" customHeight="1">
      <c r="A16" s="334" t="s">
        <v>38</v>
      </c>
      <c r="B16" s="334"/>
      <c r="C16" s="335"/>
      <c r="D16" s="335"/>
      <c r="E16" s="344" t="s">
        <v>20</v>
      </c>
      <c r="F16" s="344"/>
      <c r="G16" s="345" t="s">
        <v>262</v>
      </c>
      <c r="H16" s="346"/>
      <c r="I16" s="336" t="s">
        <v>17</v>
      </c>
      <c r="J16" s="337"/>
      <c r="K16" s="350" t="s">
        <v>18</v>
      </c>
      <c r="L16" s="350"/>
      <c r="M16" s="336" t="s">
        <v>254</v>
      </c>
      <c r="N16" s="337"/>
      <c r="O16" s="110"/>
      <c r="P16" s="111"/>
      <c r="Q16" s="20"/>
    </row>
    <row r="17" spans="1:17" s="5" customFormat="1" ht="15" customHeight="1">
      <c r="A17" s="343"/>
      <c r="B17" s="343"/>
      <c r="C17" s="35">
        <f>E11/2</f>
        <v>1.1390610761736548</v>
      </c>
      <c r="D17" s="36" t="s">
        <v>4</v>
      </c>
      <c r="E17" s="8">
        <f>E11/5.6</f>
        <v>0.40680752720487673</v>
      </c>
      <c r="F17" s="7" t="s">
        <v>4</v>
      </c>
      <c r="G17" s="30">
        <f>G11/2</f>
        <v>0.50878125</v>
      </c>
      <c r="H17" s="106" t="s">
        <v>4</v>
      </c>
      <c r="I17" s="8">
        <f>I11</f>
        <v>3.796875</v>
      </c>
      <c r="J17" s="7" t="s">
        <v>4</v>
      </c>
      <c r="K17" s="35">
        <f>K11</f>
        <v>1.0175625</v>
      </c>
      <c r="L17" s="33" t="s">
        <v>4</v>
      </c>
      <c r="M17" s="8">
        <f>M11</f>
        <v>1</v>
      </c>
      <c r="N17" s="34" t="s">
        <v>5</v>
      </c>
      <c r="O17" s="108"/>
      <c r="P17" s="17"/>
      <c r="Q17" s="20"/>
    </row>
    <row r="18" spans="1:17" s="5" customFormat="1" ht="15" customHeight="1">
      <c r="A18" s="335"/>
      <c r="B18" s="335"/>
      <c r="C18" s="35">
        <f>C17/3.5</f>
        <v>0.32544602176390136</v>
      </c>
      <c r="D18" s="33" t="s">
        <v>15</v>
      </c>
      <c r="E18" s="8">
        <f>E17/3.5</f>
        <v>0.11623072205853621</v>
      </c>
      <c r="F18" s="7" t="s">
        <v>15</v>
      </c>
      <c r="G18" s="30">
        <f>G11/2.5</f>
        <v>0.40702499999999997</v>
      </c>
      <c r="H18" s="117" t="s">
        <v>15</v>
      </c>
      <c r="I18" s="8">
        <f>I12</f>
        <v>1.51875</v>
      </c>
      <c r="J18" s="7" t="s">
        <v>15</v>
      </c>
      <c r="K18" s="35">
        <f>K11/4</f>
        <v>0.254390625</v>
      </c>
      <c r="L18" s="33" t="s">
        <v>15</v>
      </c>
      <c r="M18" s="8">
        <f>M17/5</f>
        <v>0.2</v>
      </c>
      <c r="N18" s="7" t="s">
        <v>15</v>
      </c>
      <c r="O18" s="108"/>
      <c r="P18" s="17"/>
      <c r="Q18" s="20"/>
    </row>
    <row r="19" spans="1:17" s="5" customFormat="1" ht="12.75">
      <c r="A19" s="115"/>
      <c r="B19" s="87"/>
      <c r="C19" s="32">
        <f>C17/0.25</f>
        <v>4.556244304694619</v>
      </c>
      <c r="D19" s="106" t="s">
        <v>62</v>
      </c>
      <c r="E19" s="112">
        <f>E17/0.25</f>
        <v>1.627230108819507</v>
      </c>
      <c r="F19" s="7" t="s">
        <v>62</v>
      </c>
      <c r="G19" s="32">
        <f>G17*4</f>
        <v>2.035125</v>
      </c>
      <c r="H19" s="31" t="s">
        <v>62</v>
      </c>
      <c r="I19" s="112">
        <f>I13</f>
        <v>18.984375</v>
      </c>
      <c r="J19" s="7" t="s">
        <v>62</v>
      </c>
      <c r="K19" s="32">
        <f>K17/0.25</f>
        <v>4.07025</v>
      </c>
      <c r="L19" s="106" t="s">
        <v>62</v>
      </c>
      <c r="M19" s="8">
        <f>M17*30</f>
        <v>30</v>
      </c>
      <c r="N19" s="7" t="s">
        <v>61</v>
      </c>
      <c r="O19" s="18"/>
      <c r="P19" s="19"/>
      <c r="Q19" s="20"/>
    </row>
    <row r="20" spans="1:8" s="5" customFormat="1" ht="12.75">
      <c r="A20" s="168"/>
      <c r="B20" s="4"/>
      <c r="C20" s="3"/>
      <c r="D20" s="2"/>
      <c r="E20" s="2"/>
      <c r="F20" s="3"/>
      <c r="G20" s="3"/>
      <c r="H20" s="3"/>
    </row>
    <row r="21" spans="1:14" s="5" customFormat="1" ht="12.75" customHeight="1">
      <c r="A21" s="329" t="s">
        <v>59</v>
      </c>
      <c r="B21" s="330"/>
      <c r="C21" s="330"/>
      <c r="D21" s="330"/>
      <c r="E21" s="330"/>
      <c r="F21" s="330"/>
      <c r="G21" s="330"/>
      <c r="H21" s="331"/>
      <c r="I21" s="13"/>
      <c r="J21" s="88"/>
      <c r="K21" s="88"/>
      <c r="L21" s="88"/>
      <c r="M21" s="88"/>
      <c r="N21" s="88"/>
    </row>
    <row r="22" spans="1:14" s="5" customFormat="1" ht="12.75" customHeight="1">
      <c r="A22" s="167"/>
      <c r="B22" s="139"/>
      <c r="C22" s="360" t="s">
        <v>16</v>
      </c>
      <c r="D22" s="360"/>
      <c r="E22" s="332" t="s">
        <v>8</v>
      </c>
      <c r="F22" s="353"/>
      <c r="G22" s="358" t="s">
        <v>239</v>
      </c>
      <c r="H22" s="359"/>
      <c r="I22" s="332" t="s">
        <v>17</v>
      </c>
      <c r="J22" s="353"/>
      <c r="K22" s="358" t="s">
        <v>9</v>
      </c>
      <c r="L22" s="359"/>
      <c r="M22" s="332" t="s">
        <v>252</v>
      </c>
      <c r="N22" s="333"/>
    </row>
    <row r="23" spans="1:14" ht="12.75">
      <c r="A23" s="354"/>
      <c r="B23" s="355"/>
      <c r="C23" s="131">
        <f>C11*$D$4</f>
        <v>3455.15625</v>
      </c>
      <c r="D23" s="132" t="s">
        <v>4</v>
      </c>
      <c r="E23" s="133">
        <f>E11*$D$4</f>
        <v>207.30911586360517</v>
      </c>
      <c r="F23" s="134" t="s">
        <v>4</v>
      </c>
      <c r="G23" s="131">
        <f>G11*$D$4*(5/7)</f>
        <v>66.14156249999999</v>
      </c>
      <c r="H23" s="132" t="s">
        <v>5</v>
      </c>
      <c r="I23" s="133">
        <f>I11*$D$4</f>
        <v>345.515625</v>
      </c>
      <c r="J23" s="134" t="s">
        <v>4</v>
      </c>
      <c r="K23" s="131">
        <f>K11*$D$4</f>
        <v>92.5981875</v>
      </c>
      <c r="L23" s="132" t="s">
        <v>5</v>
      </c>
      <c r="M23" s="133">
        <f>M11*$D$4</f>
        <v>91</v>
      </c>
      <c r="N23" s="134" t="s">
        <v>5</v>
      </c>
    </row>
    <row r="24" spans="1:14" ht="12.75">
      <c r="A24" s="141"/>
      <c r="B24" s="140"/>
      <c r="C24" s="360" t="s">
        <v>91</v>
      </c>
      <c r="D24" s="360"/>
      <c r="E24" s="375" t="s">
        <v>92</v>
      </c>
      <c r="F24" s="375"/>
      <c r="G24" s="365" t="s">
        <v>262</v>
      </c>
      <c r="H24" s="366"/>
      <c r="I24" s="356"/>
      <c r="J24" s="357"/>
      <c r="K24" s="360" t="s">
        <v>19</v>
      </c>
      <c r="L24" s="360"/>
      <c r="M24" s="88"/>
      <c r="N24" s="88"/>
    </row>
    <row r="25" spans="1:14" ht="12.75">
      <c r="A25" s="354"/>
      <c r="B25" s="355"/>
      <c r="C25" s="131">
        <f>C17*$D$4</f>
        <v>103.65455793180259</v>
      </c>
      <c r="D25" s="132" t="s">
        <v>4</v>
      </c>
      <c r="E25" s="133">
        <f>E17*$D$4</f>
        <v>37.019484975643785</v>
      </c>
      <c r="F25" s="134" t="s">
        <v>4</v>
      </c>
      <c r="G25" s="237">
        <f>G17*D4*(5/7)</f>
        <v>33.070781249999996</v>
      </c>
      <c r="H25" s="236" t="s">
        <v>4</v>
      </c>
      <c r="I25" s="135"/>
      <c r="J25" s="136"/>
      <c r="K25" s="131">
        <f>K17*$D$4</f>
        <v>92.5981875</v>
      </c>
      <c r="L25" s="132" t="s">
        <v>4</v>
      </c>
      <c r="M25" s="88"/>
      <c r="N25" s="88"/>
    </row>
    <row r="26" spans="1:14" ht="22.5" customHeight="1">
      <c r="A26" s="141"/>
      <c r="B26" s="141"/>
      <c r="C26" s="122"/>
      <c r="D26" s="142"/>
      <c r="E26" s="122"/>
      <c r="F26" s="235"/>
      <c r="G26" s="378" t="s">
        <v>26</v>
      </c>
      <c r="H26" s="379"/>
      <c r="I26" s="135"/>
      <c r="J26" s="234"/>
      <c r="K26" s="135"/>
      <c r="L26" s="234"/>
      <c r="M26" s="88"/>
      <c r="N26" s="88"/>
    </row>
    <row r="27" spans="1:14" ht="22.5" customHeight="1">
      <c r="A27" s="141"/>
      <c r="B27" s="141"/>
      <c r="C27" s="135"/>
      <c r="D27" s="234"/>
      <c r="E27" s="135"/>
      <c r="F27" s="136"/>
      <c r="G27" s="380"/>
      <c r="H27" s="381"/>
      <c r="I27" s="135"/>
      <c r="J27" s="234"/>
      <c r="K27" s="135"/>
      <c r="L27" s="234"/>
      <c r="M27" s="88"/>
      <c r="N27" s="88"/>
    </row>
    <row r="28" spans="1:14" ht="12.75">
      <c r="A28" s="141"/>
      <c r="B28" s="141"/>
      <c r="C28" s="135"/>
      <c r="D28" s="234"/>
      <c r="E28" s="21"/>
      <c r="F28" s="21"/>
      <c r="G28" s="135"/>
      <c r="H28" s="21"/>
      <c r="J28" s="88"/>
      <c r="K28" s="88"/>
      <c r="L28" s="88"/>
      <c r="M28" s="88"/>
      <c r="N28" s="88"/>
    </row>
    <row r="29" spans="1:2" ht="12.75">
      <c r="A29" s="124"/>
      <c r="B29" s="124"/>
    </row>
    <row r="30" spans="1:13" ht="12.75" customHeight="1">
      <c r="A30" s="398" t="s">
        <v>63</v>
      </c>
      <c r="B30" s="399"/>
      <c r="C30" s="399"/>
      <c r="D30" s="399"/>
      <c r="E30" s="38" t="s">
        <v>8</v>
      </c>
      <c r="F30" s="38"/>
      <c r="G30" s="122">
        <f>E11/C11*1000</f>
        <v>59.999925000093754</v>
      </c>
      <c r="H30" s="38" t="s">
        <v>64</v>
      </c>
      <c r="I30" s="38"/>
      <c r="J30" s="122">
        <f>E17/C11*1000</f>
        <v>10.714272321445314</v>
      </c>
      <c r="K30" s="125"/>
      <c r="L30" s="121"/>
      <c r="M30" s="121"/>
    </row>
    <row r="31" spans="1:13" ht="12.75">
      <c r="A31" s="400"/>
      <c r="B31" s="401"/>
      <c r="C31" s="401"/>
      <c r="D31" s="401"/>
      <c r="E31" s="21" t="s">
        <v>17</v>
      </c>
      <c r="F31" s="21"/>
      <c r="G31" s="21">
        <f>I11/C11*1000</f>
        <v>100</v>
      </c>
      <c r="H31" s="21"/>
      <c r="I31" s="123"/>
      <c r="J31" s="123"/>
      <c r="K31" s="126"/>
      <c r="L31" s="121"/>
      <c r="M31" s="121"/>
    </row>
    <row r="32" spans="1:11" ht="12.75">
      <c r="A32" s="402"/>
      <c r="B32" s="403"/>
      <c r="C32" s="403"/>
      <c r="D32" s="403"/>
      <c r="E32" s="119"/>
      <c r="F32" s="124"/>
      <c r="G32" s="124"/>
      <c r="H32" s="124"/>
      <c r="I32" s="124"/>
      <c r="J32" s="124"/>
      <c r="K32" s="39"/>
    </row>
    <row r="34" spans="1:11" ht="12.75">
      <c r="A34" s="371" t="s">
        <v>240</v>
      </c>
      <c r="B34" s="372"/>
      <c r="C34" s="372"/>
      <c r="D34" s="372"/>
      <c r="E34" s="372"/>
      <c r="F34" s="372"/>
      <c r="G34" s="372"/>
      <c r="H34" s="372"/>
      <c r="I34" s="372"/>
      <c r="J34" s="372"/>
      <c r="K34" s="389"/>
    </row>
    <row r="35" spans="1:11" ht="12.75">
      <c r="A35" s="368"/>
      <c r="B35" s="369"/>
      <c r="C35" s="369"/>
      <c r="D35" s="369"/>
      <c r="E35" s="369"/>
      <c r="F35" s="369"/>
      <c r="G35" s="369"/>
      <c r="H35" s="369"/>
      <c r="I35" s="369"/>
      <c r="J35" s="369"/>
      <c r="K35" s="390"/>
    </row>
    <row r="36" spans="1:11" ht="12.75">
      <c r="A36" s="373"/>
      <c r="B36" s="374"/>
      <c r="C36" s="374"/>
      <c r="D36" s="374"/>
      <c r="E36" s="374"/>
      <c r="F36" s="374"/>
      <c r="G36" s="374"/>
      <c r="H36" s="374"/>
      <c r="I36" s="374"/>
      <c r="J36" s="374"/>
      <c r="K36" s="391"/>
    </row>
    <row r="37" spans="1:11" ht="12.75">
      <c r="A37" s="118"/>
      <c r="B37" s="119"/>
      <c r="C37" s="119"/>
      <c r="D37" s="119"/>
      <c r="E37" s="119"/>
      <c r="F37" s="119"/>
      <c r="G37" s="119"/>
      <c r="H37" s="119"/>
      <c r="I37" s="119"/>
      <c r="J37" s="119"/>
      <c r="K37" s="120"/>
    </row>
  </sheetData>
  <sheetProtection/>
  <mergeCells count="44">
    <mergeCell ref="G26:H27"/>
    <mergeCell ref="A17:B18"/>
    <mergeCell ref="D12:D13"/>
    <mergeCell ref="A25:B25"/>
    <mergeCell ref="C24:D24"/>
    <mergeCell ref="E24:F24"/>
    <mergeCell ref="G24:H24"/>
    <mergeCell ref="I22:J22"/>
    <mergeCell ref="K22:L22"/>
    <mergeCell ref="A23:B23"/>
    <mergeCell ref="A21:H21"/>
    <mergeCell ref="C22:D22"/>
    <mergeCell ref="E22:F22"/>
    <mergeCell ref="G22:H22"/>
    <mergeCell ref="M10:N10"/>
    <mergeCell ref="A15:D15"/>
    <mergeCell ref="A16:D16"/>
    <mergeCell ref="E16:F16"/>
    <mergeCell ref="G16:H16"/>
    <mergeCell ref="I16:J16"/>
    <mergeCell ref="K16:L16"/>
    <mergeCell ref="M16:N16"/>
    <mergeCell ref="E10:F10"/>
    <mergeCell ref="G10:H10"/>
    <mergeCell ref="I10:J10"/>
    <mergeCell ref="K10:L10"/>
    <mergeCell ref="A1:N1"/>
    <mergeCell ref="A2:C2"/>
    <mergeCell ref="A3:C3"/>
    <mergeCell ref="A4:C4"/>
    <mergeCell ref="A5:C5"/>
    <mergeCell ref="A6:C6"/>
    <mergeCell ref="A7:N7"/>
    <mergeCell ref="E2:J6"/>
    <mergeCell ref="A8:N8"/>
    <mergeCell ref="A30:D32"/>
    <mergeCell ref="A34:K36"/>
    <mergeCell ref="A11:B11"/>
    <mergeCell ref="G14:H15"/>
    <mergeCell ref="M22:N22"/>
    <mergeCell ref="I24:J24"/>
    <mergeCell ref="K24:L24"/>
    <mergeCell ref="A9:N9"/>
    <mergeCell ref="A10:D10"/>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6"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50"/>
  <sheetViews>
    <sheetView zoomScalePageLayoutView="0" workbookViewId="0" topLeftCell="A26">
      <selection activeCell="G40" sqref="G40:H41"/>
    </sheetView>
  </sheetViews>
  <sheetFormatPr defaultColWidth="7.8515625" defaultRowHeight="12.75"/>
  <cols>
    <col min="1" max="2" width="10.28125" style="20" customWidth="1"/>
    <col min="3" max="4" width="9.7109375" style="20" customWidth="1"/>
    <col min="5" max="12" width="7.7109375" style="20" customWidth="1"/>
    <col min="13" max="14" width="7.7109375" style="6" customWidth="1"/>
    <col min="15" max="16384" width="7.8515625" style="20" customWidth="1"/>
  </cols>
  <sheetData>
    <row r="1" spans="1:14" s="89" customFormat="1" ht="48.75" customHeight="1">
      <c r="A1" s="416" t="s">
        <v>245</v>
      </c>
      <c r="B1" s="416"/>
      <c r="C1" s="416"/>
      <c r="D1" s="416"/>
      <c r="E1" s="416"/>
      <c r="F1" s="416"/>
      <c r="G1" s="416"/>
      <c r="H1" s="416"/>
      <c r="I1" s="416"/>
      <c r="J1" s="416"/>
      <c r="K1" s="416"/>
      <c r="L1" s="416"/>
      <c r="M1" s="416"/>
      <c r="N1" s="416"/>
    </row>
    <row r="2" spans="1:14" ht="18" customHeight="1">
      <c r="A2" s="412" t="s">
        <v>226</v>
      </c>
      <c r="B2" s="412"/>
      <c r="C2" s="412"/>
      <c r="D2" s="412"/>
      <c r="E2" s="412"/>
      <c r="F2" s="412"/>
      <c r="G2" s="412"/>
      <c r="H2" s="412"/>
      <c r="I2" s="412"/>
      <c r="J2" s="412"/>
      <c r="K2" s="412"/>
      <c r="L2" s="412"/>
      <c r="M2" s="412"/>
      <c r="N2" s="412"/>
    </row>
    <row r="3" spans="1:14" ht="18" customHeight="1">
      <c r="A3" s="412"/>
      <c r="B3" s="412"/>
      <c r="C3" s="412"/>
      <c r="D3" s="412"/>
      <c r="E3" s="412"/>
      <c r="F3" s="412"/>
      <c r="G3" s="412"/>
      <c r="H3" s="412"/>
      <c r="I3" s="412"/>
      <c r="J3" s="412"/>
      <c r="K3" s="412"/>
      <c r="L3" s="412"/>
      <c r="M3" s="412"/>
      <c r="N3" s="412"/>
    </row>
    <row r="4" spans="1:14" ht="18" customHeight="1">
      <c r="A4" s="412"/>
      <c r="B4" s="412"/>
      <c r="C4" s="412"/>
      <c r="D4" s="412"/>
      <c r="E4" s="412"/>
      <c r="F4" s="412"/>
      <c r="G4" s="412"/>
      <c r="H4" s="412"/>
      <c r="I4" s="412"/>
      <c r="J4" s="412"/>
      <c r="K4" s="412"/>
      <c r="L4" s="412"/>
      <c r="M4" s="412"/>
      <c r="N4" s="412"/>
    </row>
    <row r="5" spans="1:14" ht="18" customHeight="1">
      <c r="A5" s="413">
        <f>'Base data'!B12</f>
        <v>80</v>
      </c>
      <c r="B5" s="414"/>
      <c r="C5" s="414"/>
      <c r="D5" s="164"/>
      <c r="E5" s="162">
        <v>10</v>
      </c>
      <c r="M5" s="20"/>
      <c r="N5" s="20"/>
    </row>
    <row r="6" spans="1:14" ht="18" customHeight="1">
      <c r="A6" s="415" t="s">
        <v>58</v>
      </c>
      <c r="B6" s="415"/>
      <c r="C6" s="415"/>
      <c r="D6" s="165">
        <f>('Base data'!B10*'Base data'!B12/'Base data'!B6)/2</f>
        <v>135</v>
      </c>
      <c r="E6" s="163">
        <f>'Base data'!B10*Babies!E5/'Base data'!B6</f>
        <v>33.75</v>
      </c>
      <c r="M6" s="20"/>
      <c r="N6" s="20"/>
    </row>
    <row r="7" spans="1:14" ht="36.75" customHeight="1" hidden="1">
      <c r="A7" s="352"/>
      <c r="B7" s="352"/>
      <c r="C7" s="352"/>
      <c r="D7" s="352"/>
      <c r="E7" s="352"/>
      <c r="F7" s="352"/>
      <c r="G7" s="352"/>
      <c r="H7" s="352"/>
      <c r="I7" s="352"/>
      <c r="J7" s="352"/>
      <c r="K7" s="352"/>
      <c r="L7" s="352"/>
      <c r="M7" s="352"/>
      <c r="N7" s="352"/>
    </row>
    <row r="8" spans="1:14" ht="19.5" customHeight="1" hidden="1">
      <c r="A8" s="349" t="s">
        <v>35</v>
      </c>
      <c r="B8" s="349"/>
      <c r="C8" s="349"/>
      <c r="D8" s="349"/>
      <c r="E8" s="349"/>
      <c r="F8" s="349"/>
      <c r="G8" s="349"/>
      <c r="H8" s="349"/>
      <c r="I8" s="349"/>
      <c r="J8" s="349"/>
      <c r="K8" s="349"/>
      <c r="L8" s="349"/>
      <c r="M8" s="349"/>
      <c r="N8" s="349"/>
    </row>
    <row r="9" spans="1:17" s="5" customFormat="1" ht="41.25" customHeight="1" hidden="1">
      <c r="A9" s="351" t="s">
        <v>36</v>
      </c>
      <c r="B9" s="351"/>
      <c r="C9" s="351"/>
      <c r="D9" s="351"/>
      <c r="E9" s="344" t="s">
        <v>37</v>
      </c>
      <c r="F9" s="344"/>
      <c r="G9" s="345" t="s">
        <v>242</v>
      </c>
      <c r="H9" s="346"/>
      <c r="I9" s="336" t="s">
        <v>39</v>
      </c>
      <c r="J9" s="337"/>
      <c r="K9" s="345" t="s">
        <v>7</v>
      </c>
      <c r="L9" s="346"/>
      <c r="M9" s="336" t="s">
        <v>252</v>
      </c>
      <c r="N9" s="337"/>
      <c r="O9" s="110"/>
      <c r="P9" s="111"/>
      <c r="Q9" s="20"/>
    </row>
    <row r="10" spans="1:17" s="5" customFormat="1" ht="12.75" hidden="1">
      <c r="A10" s="347" t="s">
        <v>25</v>
      </c>
      <c r="B10" s="347"/>
      <c r="C10" s="32">
        <f>D6*0.125</f>
        <v>16.875</v>
      </c>
      <c r="D10" s="33" t="s">
        <v>4</v>
      </c>
      <c r="E10" s="113">
        <f>D6*4000/266667</f>
        <v>2.024997468753164</v>
      </c>
      <c r="F10" s="7" t="s">
        <v>4</v>
      </c>
      <c r="G10" s="30">
        <f>D6*0.0067</f>
        <v>0.9045000000000001</v>
      </c>
      <c r="H10" s="31" t="s">
        <v>5</v>
      </c>
      <c r="I10" s="8">
        <v>0</v>
      </c>
      <c r="J10" s="7" t="s">
        <v>4</v>
      </c>
      <c r="K10" s="30">
        <f>D6*0.0067</f>
        <v>0.9045000000000001</v>
      </c>
      <c r="L10" s="106" t="s">
        <v>5</v>
      </c>
      <c r="M10" s="37">
        <f>'Base data'!B8*0.5/1000</f>
        <v>1</v>
      </c>
      <c r="N10" s="34" t="s">
        <v>5</v>
      </c>
      <c r="O10" s="107"/>
      <c r="P10" s="19"/>
      <c r="Q10" s="20"/>
    </row>
    <row r="11" spans="1:17" s="5" customFormat="1" ht="12.75" hidden="1">
      <c r="A11" s="115"/>
      <c r="B11" s="115"/>
      <c r="C11" s="115"/>
      <c r="D11" s="116"/>
      <c r="E11" s="8">
        <f>E10/3.5</f>
        <v>0.5785707053580469</v>
      </c>
      <c r="F11" s="7" t="s">
        <v>15</v>
      </c>
      <c r="G11" s="30">
        <f>G10/5</f>
        <v>0.1809</v>
      </c>
      <c r="H11" s="31" t="s">
        <v>15</v>
      </c>
      <c r="I11" s="8">
        <v>0</v>
      </c>
      <c r="J11" s="7" t="s">
        <v>15</v>
      </c>
      <c r="K11" s="30">
        <f>K10/5</f>
        <v>0.1809</v>
      </c>
      <c r="L11" s="31" t="s">
        <v>15</v>
      </c>
      <c r="M11" s="8">
        <f>M10/5</f>
        <v>0.2</v>
      </c>
      <c r="N11" s="7" t="s">
        <v>15</v>
      </c>
      <c r="O11" s="107"/>
      <c r="P11" s="19"/>
      <c r="Q11" s="20"/>
    </row>
    <row r="12" spans="1:17" s="5" customFormat="1" ht="12.75" hidden="1">
      <c r="A12" s="87"/>
      <c r="B12" s="87"/>
      <c r="C12" s="87"/>
      <c r="D12" s="114"/>
      <c r="E12" s="112">
        <f>E10/0.25</f>
        <v>8.099989875012657</v>
      </c>
      <c r="F12" s="7" t="s">
        <v>62</v>
      </c>
      <c r="G12" s="32">
        <f>G10*30</f>
        <v>27.135</v>
      </c>
      <c r="H12" s="31" t="s">
        <v>61</v>
      </c>
      <c r="I12" s="112">
        <f>I10/0.15</f>
        <v>0</v>
      </c>
      <c r="J12" s="7" t="s">
        <v>62</v>
      </c>
      <c r="K12" s="32">
        <f>K10*30</f>
        <v>27.135</v>
      </c>
      <c r="L12" s="106" t="s">
        <v>61</v>
      </c>
      <c r="M12" s="8">
        <f>M10*30</f>
        <v>30</v>
      </c>
      <c r="N12" s="7" t="s">
        <v>61</v>
      </c>
      <c r="O12" s="18"/>
      <c r="P12" s="19"/>
      <c r="Q12" s="20"/>
    </row>
    <row r="13" spans="1:13" s="21" customFormat="1" ht="12.75" customHeight="1" hidden="1">
      <c r="A13" s="87"/>
      <c r="B13" s="16"/>
      <c r="C13" s="16"/>
      <c r="D13" s="17"/>
      <c r="E13" s="18"/>
      <c r="F13" s="18"/>
      <c r="G13" s="339" t="s">
        <v>243</v>
      </c>
      <c r="H13" s="340"/>
      <c r="I13" s="109"/>
      <c r="J13" s="109"/>
      <c r="K13" s="109"/>
      <c r="L13" s="109"/>
      <c r="M13" s="109"/>
    </row>
    <row r="14" spans="1:17" s="5" customFormat="1" ht="22.5" customHeight="1" hidden="1">
      <c r="A14" s="338" t="s">
        <v>30</v>
      </c>
      <c r="B14" s="338"/>
      <c r="C14" s="338"/>
      <c r="D14" s="338"/>
      <c r="E14" s="41"/>
      <c r="F14" s="41"/>
      <c r="G14" s="341"/>
      <c r="H14" s="342"/>
      <c r="I14" s="41"/>
      <c r="J14" s="41"/>
      <c r="K14" s="41"/>
      <c r="L14" s="41"/>
      <c r="M14" s="41"/>
      <c r="N14" s="41"/>
      <c r="O14" s="21"/>
      <c r="P14" s="21"/>
      <c r="Q14" s="20"/>
    </row>
    <row r="15" spans="1:17" s="5" customFormat="1" ht="58.5" customHeight="1" hidden="1">
      <c r="A15" s="334" t="s">
        <v>38</v>
      </c>
      <c r="B15" s="334"/>
      <c r="C15" s="335"/>
      <c r="D15" s="335"/>
      <c r="E15" s="344" t="s">
        <v>20</v>
      </c>
      <c r="F15" s="344"/>
      <c r="G15" s="345" t="s">
        <v>244</v>
      </c>
      <c r="H15" s="346"/>
      <c r="I15" s="336" t="s">
        <v>39</v>
      </c>
      <c r="J15" s="337"/>
      <c r="K15" s="350" t="s">
        <v>18</v>
      </c>
      <c r="L15" s="350"/>
      <c r="M15" s="336" t="s">
        <v>254</v>
      </c>
      <c r="N15" s="337"/>
      <c r="O15" s="110"/>
      <c r="P15" s="111"/>
      <c r="Q15" s="20"/>
    </row>
    <row r="16" spans="1:17" s="5" customFormat="1" ht="15" customHeight="1" hidden="1">
      <c r="A16" s="343"/>
      <c r="B16" s="343"/>
      <c r="C16" s="35">
        <f>E10/4</f>
        <v>0.506249367188291</v>
      </c>
      <c r="D16" s="36" t="s">
        <v>4</v>
      </c>
      <c r="E16" s="8">
        <f>E10/5.6</f>
        <v>0.36160669084877933</v>
      </c>
      <c r="F16" s="7" t="s">
        <v>4</v>
      </c>
      <c r="G16" s="30">
        <f>G10</f>
        <v>0.9045000000000001</v>
      </c>
      <c r="H16" s="106" t="s">
        <v>5</v>
      </c>
      <c r="I16" s="8">
        <f>I10</f>
        <v>0</v>
      </c>
      <c r="J16" s="7" t="s">
        <v>4</v>
      </c>
      <c r="K16" s="35">
        <f>K10</f>
        <v>0.9045000000000001</v>
      </c>
      <c r="L16" s="33" t="s">
        <v>4</v>
      </c>
      <c r="M16" s="8">
        <f>M10</f>
        <v>1</v>
      </c>
      <c r="N16" s="34" t="s">
        <v>5</v>
      </c>
      <c r="O16" s="108"/>
      <c r="P16" s="17"/>
      <c r="Q16" s="20"/>
    </row>
    <row r="17" spans="1:17" s="5" customFormat="1" ht="15" customHeight="1" hidden="1">
      <c r="A17" s="335"/>
      <c r="B17" s="335"/>
      <c r="C17" s="35">
        <f>C16/3.5</f>
        <v>0.14464267633951172</v>
      </c>
      <c r="D17" s="33" t="s">
        <v>15</v>
      </c>
      <c r="E17" s="8">
        <f>E16/3.5</f>
        <v>0.10331619738536553</v>
      </c>
      <c r="F17" s="7" t="s">
        <v>15</v>
      </c>
      <c r="G17" s="30">
        <f>G10/5</f>
        <v>0.1809</v>
      </c>
      <c r="H17" s="117" t="s">
        <v>15</v>
      </c>
      <c r="I17" s="8">
        <f>I11</f>
        <v>0</v>
      </c>
      <c r="J17" s="7" t="s">
        <v>15</v>
      </c>
      <c r="K17" s="35">
        <f>K10/4</f>
        <v>0.22612500000000002</v>
      </c>
      <c r="L17" s="33" t="s">
        <v>15</v>
      </c>
      <c r="M17" s="8">
        <f>M16/5</f>
        <v>0.2</v>
      </c>
      <c r="N17" s="7" t="s">
        <v>15</v>
      </c>
      <c r="O17" s="108"/>
      <c r="P17" s="17"/>
      <c r="Q17" s="20"/>
    </row>
    <row r="18" spans="1:17" s="5" customFormat="1" ht="12.75" hidden="1">
      <c r="A18" s="87"/>
      <c r="B18" s="87"/>
      <c r="C18" s="32">
        <f>C16/0.25</f>
        <v>2.024997468753164</v>
      </c>
      <c r="D18" s="106" t="s">
        <v>62</v>
      </c>
      <c r="E18" s="112">
        <f>E16/0.25</f>
        <v>1.4464267633951173</v>
      </c>
      <c r="F18" s="7" t="s">
        <v>62</v>
      </c>
      <c r="G18" s="32">
        <f>G16*30</f>
        <v>27.135</v>
      </c>
      <c r="H18" s="31" t="s">
        <v>61</v>
      </c>
      <c r="I18" s="112">
        <f>I16/0.15</f>
        <v>0</v>
      </c>
      <c r="J18" s="7" t="s">
        <v>62</v>
      </c>
      <c r="K18" s="32">
        <f>K16/0.25</f>
        <v>3.6180000000000003</v>
      </c>
      <c r="L18" s="106" t="s">
        <v>62</v>
      </c>
      <c r="M18" s="8">
        <f>M16*30</f>
        <v>30</v>
      </c>
      <c r="N18" s="7" t="s">
        <v>61</v>
      </c>
      <c r="O18" s="18"/>
      <c r="P18" s="19"/>
      <c r="Q18" s="20"/>
    </row>
    <row r="19" spans="1:16" ht="12.75" hidden="1">
      <c r="A19" s="87"/>
      <c r="B19" s="87"/>
      <c r="C19" s="127"/>
      <c r="D19" s="19"/>
      <c r="E19" s="127"/>
      <c r="F19" s="18"/>
      <c r="G19" s="127"/>
      <c r="H19" s="18"/>
      <c r="I19" s="127"/>
      <c r="J19" s="18"/>
      <c r="K19" s="127"/>
      <c r="L19" s="19"/>
      <c r="M19" s="18"/>
      <c r="N19" s="18"/>
      <c r="O19" s="18"/>
      <c r="P19" s="19"/>
    </row>
    <row r="20" spans="1:14" ht="19.5" customHeight="1">
      <c r="A20" s="349" t="s">
        <v>35</v>
      </c>
      <c r="B20" s="349"/>
      <c r="C20" s="349"/>
      <c r="D20" s="349"/>
      <c r="E20" s="349"/>
      <c r="F20" s="349"/>
      <c r="G20" s="349"/>
      <c r="H20" s="349"/>
      <c r="I20" s="349"/>
      <c r="J20" s="349"/>
      <c r="K20" s="349"/>
      <c r="L20" s="349"/>
      <c r="M20" s="349"/>
      <c r="N20" s="349"/>
    </row>
    <row r="21" spans="1:17" s="5" customFormat="1" ht="41.25" customHeight="1">
      <c r="A21" s="351" t="s">
        <v>36</v>
      </c>
      <c r="B21" s="351"/>
      <c r="C21" s="351"/>
      <c r="D21" s="351"/>
      <c r="E21" s="344" t="s">
        <v>37</v>
      </c>
      <c r="F21" s="344"/>
      <c r="G21" s="345" t="s">
        <v>266</v>
      </c>
      <c r="H21" s="346"/>
      <c r="I21" s="336" t="s">
        <v>39</v>
      </c>
      <c r="J21" s="337"/>
      <c r="K21" s="345" t="s">
        <v>7</v>
      </c>
      <c r="L21" s="346"/>
      <c r="M21" s="336" t="s">
        <v>252</v>
      </c>
      <c r="N21" s="337"/>
      <c r="O21" s="110"/>
      <c r="P21" s="111"/>
      <c r="Q21" s="20"/>
    </row>
    <row r="22" spans="1:17" s="5" customFormat="1" ht="12.75">
      <c r="A22" s="347" t="s">
        <v>25</v>
      </c>
      <c r="B22" s="347"/>
      <c r="C22" s="32">
        <f>E6*0.125</f>
        <v>4.21875</v>
      </c>
      <c r="D22" s="33" t="s">
        <v>4</v>
      </c>
      <c r="E22" s="113">
        <f>E6*4000/266667</f>
        <v>0.506249367188291</v>
      </c>
      <c r="F22" s="7" t="s">
        <v>4</v>
      </c>
      <c r="G22" s="30">
        <f>E6*0.0067</f>
        <v>0.22612500000000002</v>
      </c>
      <c r="H22" s="31" t="s">
        <v>5</v>
      </c>
      <c r="I22" s="8">
        <v>0</v>
      </c>
      <c r="J22" s="7" t="s">
        <v>4</v>
      </c>
      <c r="K22" s="30">
        <f>E6*0.0067</f>
        <v>0.22612500000000002</v>
      </c>
      <c r="L22" s="106" t="s">
        <v>5</v>
      </c>
      <c r="M22" s="37">
        <v>0</v>
      </c>
      <c r="N22" s="34" t="s">
        <v>5</v>
      </c>
      <c r="O22" s="107"/>
      <c r="P22" s="19"/>
      <c r="Q22" s="20"/>
    </row>
    <row r="23" spans="1:17" s="5" customFormat="1" ht="12.75">
      <c r="A23" s="115"/>
      <c r="B23" s="115"/>
      <c r="C23" s="231">
        <f>C22/3.7</f>
        <v>1.1402027027027026</v>
      </c>
      <c r="D23" s="367" t="s">
        <v>258</v>
      </c>
      <c r="E23" s="8">
        <f>E22/3.5</f>
        <v>0.14464267633951172</v>
      </c>
      <c r="F23" s="7" t="s">
        <v>15</v>
      </c>
      <c r="G23" s="30">
        <f>G22/5</f>
        <v>0.045225</v>
      </c>
      <c r="H23" s="31" t="s">
        <v>15</v>
      </c>
      <c r="I23" s="8">
        <v>0</v>
      </c>
      <c r="J23" s="7" t="s">
        <v>15</v>
      </c>
      <c r="K23" s="30">
        <f>K22/5</f>
        <v>0.045225</v>
      </c>
      <c r="L23" s="31" t="s">
        <v>15</v>
      </c>
      <c r="M23" s="8">
        <f>M22/5</f>
        <v>0</v>
      </c>
      <c r="N23" s="7" t="s">
        <v>15</v>
      </c>
      <c r="O23" s="107"/>
      <c r="P23" s="19"/>
      <c r="Q23" s="20"/>
    </row>
    <row r="24" spans="1:17" s="5" customFormat="1" ht="12.75">
      <c r="A24" s="87"/>
      <c r="B24" s="87"/>
      <c r="C24" s="232"/>
      <c r="D24" s="367"/>
      <c r="E24" s="112">
        <f>E22/0.25</f>
        <v>2.024997468753164</v>
      </c>
      <c r="F24" s="7" t="s">
        <v>62</v>
      </c>
      <c r="G24" s="32">
        <f>G22*30</f>
        <v>6.78375</v>
      </c>
      <c r="H24" s="31" t="s">
        <v>61</v>
      </c>
      <c r="I24" s="112">
        <f>I22/0.2</f>
        <v>0</v>
      </c>
      <c r="J24" s="7" t="s">
        <v>62</v>
      </c>
      <c r="K24" s="32">
        <f>K22*30</f>
        <v>6.78375</v>
      </c>
      <c r="L24" s="106" t="s">
        <v>61</v>
      </c>
      <c r="M24" s="8">
        <f>M22*30</f>
        <v>0</v>
      </c>
      <c r="N24" s="7" t="s">
        <v>61</v>
      </c>
      <c r="O24" s="18"/>
      <c r="P24" s="19"/>
      <c r="Q24" s="20"/>
    </row>
    <row r="25" spans="1:13" s="21" customFormat="1" ht="33" customHeight="1">
      <c r="A25" s="87"/>
      <c r="B25" s="16"/>
      <c r="C25" s="16"/>
      <c r="D25" s="17"/>
      <c r="E25" s="18"/>
      <c r="F25" s="18"/>
      <c r="G25" s="339" t="s">
        <v>243</v>
      </c>
      <c r="H25" s="340"/>
      <c r="I25" s="109"/>
      <c r="J25" s="109"/>
      <c r="K25" s="109"/>
      <c r="L25" s="109"/>
      <c r="M25" s="109"/>
    </row>
    <row r="26" spans="1:17" s="5" customFormat="1" ht="22.5" customHeight="1">
      <c r="A26" s="338" t="s">
        <v>30</v>
      </c>
      <c r="B26" s="338"/>
      <c r="C26" s="338"/>
      <c r="D26" s="338"/>
      <c r="E26" s="41"/>
      <c r="F26" s="41"/>
      <c r="G26" s="341"/>
      <c r="H26" s="342"/>
      <c r="I26" s="41"/>
      <c r="J26" s="41"/>
      <c r="K26" s="41"/>
      <c r="L26" s="41"/>
      <c r="M26" s="41"/>
      <c r="N26" s="41"/>
      <c r="O26" s="21"/>
      <c r="P26" s="21"/>
      <c r="Q26" s="20"/>
    </row>
    <row r="27" spans="1:17" s="5" customFormat="1" ht="58.5" customHeight="1">
      <c r="A27" s="334" t="s">
        <v>38</v>
      </c>
      <c r="B27" s="334"/>
      <c r="C27" s="335"/>
      <c r="D27" s="335"/>
      <c r="E27" s="344" t="s">
        <v>20</v>
      </c>
      <c r="F27" s="344"/>
      <c r="G27" s="345" t="s">
        <v>262</v>
      </c>
      <c r="H27" s="346"/>
      <c r="I27" s="336" t="s">
        <v>39</v>
      </c>
      <c r="J27" s="337"/>
      <c r="K27" s="350" t="s">
        <v>18</v>
      </c>
      <c r="L27" s="350"/>
      <c r="M27" s="336" t="s">
        <v>254</v>
      </c>
      <c r="N27" s="337"/>
      <c r="O27" s="110"/>
      <c r="P27" s="111"/>
      <c r="Q27" s="20"/>
    </row>
    <row r="28" spans="1:17" s="5" customFormat="1" ht="15" customHeight="1">
      <c r="A28" s="343"/>
      <c r="B28" s="343"/>
      <c r="C28" s="35">
        <f>E22/4</f>
        <v>0.12656234179707276</v>
      </c>
      <c r="D28" s="36" t="s">
        <v>4</v>
      </c>
      <c r="E28" s="8">
        <f>E22/5.6</f>
        <v>0.09040167271219483</v>
      </c>
      <c r="F28" s="7" t="s">
        <v>4</v>
      </c>
      <c r="G28" s="30">
        <f>G22/2</f>
        <v>0.11306250000000001</v>
      </c>
      <c r="H28" s="106" t="s">
        <v>4</v>
      </c>
      <c r="I28" s="8">
        <f>I22</f>
        <v>0</v>
      </c>
      <c r="J28" s="7" t="s">
        <v>4</v>
      </c>
      <c r="K28" s="35">
        <f>K22</f>
        <v>0.22612500000000002</v>
      </c>
      <c r="L28" s="33" t="s">
        <v>4</v>
      </c>
      <c r="M28" s="8">
        <f>M22</f>
        <v>0</v>
      </c>
      <c r="N28" s="34" t="s">
        <v>5</v>
      </c>
      <c r="O28" s="108"/>
      <c r="P28" s="17"/>
      <c r="Q28" s="20"/>
    </row>
    <row r="29" spans="1:17" s="5" customFormat="1" ht="15" customHeight="1">
      <c r="A29" s="335"/>
      <c r="B29" s="335"/>
      <c r="C29" s="35">
        <f>C28/3.5</f>
        <v>0.03616066908487793</v>
      </c>
      <c r="D29" s="33" t="s">
        <v>15</v>
      </c>
      <c r="E29" s="8">
        <f>E28/3.5</f>
        <v>0.025829049346341382</v>
      </c>
      <c r="F29" s="7" t="s">
        <v>15</v>
      </c>
      <c r="G29" s="30">
        <f>G22/2.5</f>
        <v>0.09045</v>
      </c>
      <c r="H29" s="117" t="s">
        <v>15</v>
      </c>
      <c r="I29" s="8">
        <f>I23</f>
        <v>0</v>
      </c>
      <c r="J29" s="7" t="s">
        <v>15</v>
      </c>
      <c r="K29" s="35">
        <f>K22/4</f>
        <v>0.056531250000000005</v>
      </c>
      <c r="L29" s="33" t="s">
        <v>15</v>
      </c>
      <c r="M29" s="8">
        <f>M28/5</f>
        <v>0</v>
      </c>
      <c r="N29" s="7" t="s">
        <v>15</v>
      </c>
      <c r="O29" s="108"/>
      <c r="P29" s="17"/>
      <c r="Q29" s="20"/>
    </row>
    <row r="30" spans="1:17" s="5" customFormat="1" ht="12.75">
      <c r="A30" s="115"/>
      <c r="B30" s="87"/>
      <c r="C30" s="32">
        <f>C28/0.25</f>
        <v>0.506249367188291</v>
      </c>
      <c r="D30" s="106" t="s">
        <v>62</v>
      </c>
      <c r="E30" s="112">
        <f>E28/0.25</f>
        <v>0.36160669084877933</v>
      </c>
      <c r="F30" s="7" t="s">
        <v>62</v>
      </c>
      <c r="G30" s="32">
        <f>G28*4</f>
        <v>0.45225000000000004</v>
      </c>
      <c r="H30" s="31" t="s">
        <v>62</v>
      </c>
      <c r="I30" s="112">
        <f>I28/0.2</f>
        <v>0</v>
      </c>
      <c r="J30" s="7" t="s">
        <v>62</v>
      </c>
      <c r="K30" s="32">
        <f>K28/0.25</f>
        <v>0.9045000000000001</v>
      </c>
      <c r="L30" s="106" t="s">
        <v>62</v>
      </c>
      <c r="M30" s="8">
        <f>M28*30</f>
        <v>0</v>
      </c>
      <c r="N30" s="7" t="s">
        <v>61</v>
      </c>
      <c r="O30" s="18"/>
      <c r="P30" s="19"/>
      <c r="Q30" s="20"/>
    </row>
    <row r="31" spans="1:16" ht="12.75">
      <c r="A31" s="87"/>
      <c r="B31" s="87"/>
      <c r="C31" s="127"/>
      <c r="D31" s="19"/>
      <c r="E31" s="127"/>
      <c r="F31" s="18"/>
      <c r="G31" s="127"/>
      <c r="H31" s="18"/>
      <c r="I31" s="127"/>
      <c r="J31" s="18"/>
      <c r="K31" s="127"/>
      <c r="L31" s="19"/>
      <c r="M31" s="18"/>
      <c r="N31" s="18"/>
      <c r="O31" s="18"/>
      <c r="P31" s="19"/>
    </row>
    <row r="32" spans="1:16" ht="12.75">
      <c r="A32" s="87"/>
      <c r="B32" s="87"/>
      <c r="C32" s="127"/>
      <c r="D32" s="19"/>
      <c r="E32" s="127"/>
      <c r="F32" s="18"/>
      <c r="G32" s="127"/>
      <c r="H32" s="18"/>
      <c r="I32" s="127"/>
      <c r="J32" s="18"/>
      <c r="K32" s="127"/>
      <c r="L32" s="19"/>
      <c r="M32" s="18"/>
      <c r="N32" s="18"/>
      <c r="O32" s="18"/>
      <c r="P32" s="19"/>
    </row>
    <row r="33" spans="1:16" ht="12.75">
      <c r="A33" s="87"/>
      <c r="B33" s="87"/>
      <c r="C33" s="127"/>
      <c r="D33" s="19"/>
      <c r="E33" s="127"/>
      <c r="F33" s="18"/>
      <c r="G33" s="127"/>
      <c r="H33" s="18"/>
      <c r="I33" s="127"/>
      <c r="J33" s="18"/>
      <c r="K33" s="127"/>
      <c r="L33" s="19"/>
      <c r="M33" s="18"/>
      <c r="N33" s="18"/>
      <c r="O33" s="18"/>
      <c r="P33" s="19"/>
    </row>
    <row r="34" spans="1:14" ht="12.75">
      <c r="A34" s="178"/>
      <c r="B34" s="159"/>
      <c r="C34" s="160"/>
      <c r="D34" s="161"/>
      <c r="E34" s="161"/>
      <c r="F34" s="160"/>
      <c r="G34" s="160"/>
      <c r="H34" s="160"/>
      <c r="M34" s="20"/>
      <c r="N34" s="20"/>
    </row>
    <row r="35" spans="1:14" s="5" customFormat="1" ht="25.5" customHeight="1">
      <c r="A35" s="329" t="s">
        <v>227</v>
      </c>
      <c r="B35" s="330"/>
      <c r="C35" s="330"/>
      <c r="D35" s="330"/>
      <c r="E35" s="330"/>
      <c r="F35" s="330"/>
      <c r="G35" s="330"/>
      <c r="H35" s="330"/>
      <c r="I35" s="330"/>
      <c r="J35" s="330"/>
      <c r="K35" s="330"/>
      <c r="L35" s="330"/>
      <c r="M35" s="330"/>
      <c r="N35" s="331"/>
    </row>
    <row r="36" spans="1:14" s="5" customFormat="1" ht="12.75" customHeight="1">
      <c r="A36" s="167"/>
      <c r="B36" s="139"/>
      <c r="C36" s="360" t="s">
        <v>16</v>
      </c>
      <c r="D36" s="360"/>
      <c r="E36" s="332" t="s">
        <v>8</v>
      </c>
      <c r="F36" s="353"/>
      <c r="G36" s="358" t="s">
        <v>239</v>
      </c>
      <c r="H36" s="359"/>
      <c r="I36" s="332" t="s">
        <v>17</v>
      </c>
      <c r="J36" s="353"/>
      <c r="K36" s="358" t="s">
        <v>9</v>
      </c>
      <c r="L36" s="359"/>
      <c r="M36" s="332" t="s">
        <v>252</v>
      </c>
      <c r="N36" s="333"/>
    </row>
    <row r="37" spans="1:14" ht="12.75">
      <c r="A37" s="354"/>
      <c r="B37" s="355"/>
      <c r="C37" s="131">
        <f>(('Second maintenance period'!C23*(Babies!$A$5/'Base data'!$B$6))+(('Breeding season'!C23/2*(Babies!$A$5/'Base data'!$B$6))))/2</f>
        <v>3071.25</v>
      </c>
      <c r="D37" s="132" t="s">
        <v>4</v>
      </c>
      <c r="E37" s="133">
        <f>(('Second maintenance period'!E23*(Babies!$A$5/'Base data'!$B$6))+(('Breeding season'!E23/2*(Babies!$A$5/'Base data'!$B$6))))/2</f>
        <v>276.4121544848069</v>
      </c>
      <c r="F37" s="134" t="s">
        <v>4</v>
      </c>
      <c r="G37" s="131">
        <f>K37</f>
        <v>17.63775</v>
      </c>
      <c r="H37" s="132" t="s">
        <v>5</v>
      </c>
      <c r="I37" s="133">
        <v>0</v>
      </c>
      <c r="J37" s="134" t="s">
        <v>4</v>
      </c>
      <c r="K37" s="131">
        <f>(('Second maintenance period'!K23*(Babies!$A$5/'Base data'!$B$6))+((('Breeding season'!K23/2)/7)*(Babies!$A$5/'Base data'!$B$6)))/2</f>
        <v>17.63775</v>
      </c>
      <c r="L37" s="132" t="s">
        <v>5</v>
      </c>
      <c r="M37" s="133">
        <v>0</v>
      </c>
      <c r="N37" s="134" t="s">
        <v>5</v>
      </c>
    </row>
    <row r="38" spans="1:14" ht="12.75">
      <c r="A38" s="141"/>
      <c r="B38" s="140"/>
      <c r="C38" s="360" t="s">
        <v>91</v>
      </c>
      <c r="D38" s="360"/>
      <c r="E38" s="375" t="s">
        <v>92</v>
      </c>
      <c r="F38" s="375"/>
      <c r="G38" s="365" t="s">
        <v>262</v>
      </c>
      <c r="H38" s="366"/>
      <c r="I38" s="356"/>
      <c r="J38" s="357"/>
      <c r="K38" s="360" t="s">
        <v>19</v>
      </c>
      <c r="L38" s="360"/>
      <c r="M38" s="408" t="s">
        <v>103</v>
      </c>
      <c r="N38" s="409"/>
    </row>
    <row r="39" spans="1:14" ht="12.75">
      <c r="A39" s="354"/>
      <c r="B39" s="355"/>
      <c r="C39" s="131">
        <f>(('Second maintenance period'!C25*(Babies!$A$5/'Base data'!$B$6))+(('Breeding season'!C25/2*(Babies!$A$5/'Base data'!$B$6))))/2</f>
        <v>92.13738482826896</v>
      </c>
      <c r="D39" s="132" t="s">
        <v>4</v>
      </c>
      <c r="E39" s="133">
        <f>(('Second maintenance period'!E25*(Babies!$A$5/'Base data'!$B$6))+(('Breeding season'!E25/2*(Babies!$A$5/'Base data'!$B$6))))/2</f>
        <v>49.359313300858375</v>
      </c>
      <c r="F39" s="134" t="s">
        <v>4</v>
      </c>
      <c r="G39" s="237">
        <f>G37/2</f>
        <v>8.818875</v>
      </c>
      <c r="H39" s="236" t="s">
        <v>4</v>
      </c>
      <c r="I39" s="135"/>
      <c r="J39" s="136"/>
      <c r="K39" s="131">
        <f>K37</f>
        <v>17.63775</v>
      </c>
      <c r="L39" s="132" t="s">
        <v>4</v>
      </c>
      <c r="M39" s="410"/>
      <c r="N39" s="411"/>
    </row>
    <row r="40" spans="1:14" ht="22.5" customHeight="1">
      <c r="A40" s="141"/>
      <c r="B40" s="141"/>
      <c r="C40" s="122"/>
      <c r="D40" s="142"/>
      <c r="E40" s="122"/>
      <c r="F40" s="235"/>
      <c r="G40" s="378" t="s">
        <v>26</v>
      </c>
      <c r="H40" s="379"/>
      <c r="I40" s="135"/>
      <c r="J40" s="234"/>
      <c r="K40" s="135"/>
      <c r="L40" s="234"/>
      <c r="M40" s="243"/>
      <c r="N40" s="244"/>
    </row>
    <row r="41" spans="1:14" ht="22.5" customHeight="1">
      <c r="A41" s="141"/>
      <c r="B41" s="141"/>
      <c r="C41" s="135"/>
      <c r="D41" s="234"/>
      <c r="E41" s="135"/>
      <c r="F41" s="136"/>
      <c r="G41" s="380"/>
      <c r="H41" s="381"/>
      <c r="I41" s="135"/>
      <c r="J41" s="234"/>
      <c r="K41" s="135"/>
      <c r="L41" s="234"/>
      <c r="M41" s="243"/>
      <c r="N41" s="244"/>
    </row>
    <row r="42" spans="1:14" ht="12.75">
      <c r="A42" s="141"/>
      <c r="B42" s="141"/>
      <c r="C42" s="135"/>
      <c r="D42" s="234"/>
      <c r="E42" s="21"/>
      <c r="F42" s="21"/>
      <c r="G42" s="135"/>
      <c r="H42" s="21"/>
      <c r="J42" s="88"/>
      <c r="K42" s="88"/>
      <c r="L42" s="88"/>
      <c r="M42" s="88"/>
      <c r="N42" s="88"/>
    </row>
    <row r="43" spans="1:2" ht="12.75">
      <c r="A43" s="124"/>
      <c r="B43" s="124"/>
    </row>
    <row r="44" spans="1:13" ht="12.75" customHeight="1">
      <c r="A44" s="371" t="s">
        <v>63</v>
      </c>
      <c r="B44" s="372"/>
      <c r="C44" s="372"/>
      <c r="D44" s="372"/>
      <c r="E44" s="38" t="s">
        <v>8</v>
      </c>
      <c r="F44" s="38"/>
      <c r="G44" s="122">
        <f>E10/C10*1000</f>
        <v>119.99985000018751</v>
      </c>
      <c r="H44" s="38" t="s">
        <v>64</v>
      </c>
      <c r="I44" s="38"/>
      <c r="J44" s="122">
        <f>E16/C10*1000</f>
        <v>21.42854464289063</v>
      </c>
      <c r="K44" s="125"/>
      <c r="L44" s="121"/>
      <c r="M44" s="121"/>
    </row>
    <row r="45" spans="1:13" ht="12.75">
      <c r="A45" s="368"/>
      <c r="B45" s="369"/>
      <c r="C45" s="369"/>
      <c r="D45" s="369"/>
      <c r="E45" s="21" t="s">
        <v>17</v>
      </c>
      <c r="F45" s="21"/>
      <c r="G45" s="21">
        <f>I10/C10*1000</f>
        <v>0</v>
      </c>
      <c r="H45" s="21"/>
      <c r="I45" s="123"/>
      <c r="J45" s="123"/>
      <c r="K45" s="126"/>
      <c r="L45" s="121"/>
      <c r="M45" s="121"/>
    </row>
    <row r="46" spans="1:11" ht="12.75">
      <c r="A46" s="373"/>
      <c r="B46" s="374"/>
      <c r="C46" s="374"/>
      <c r="D46" s="374"/>
      <c r="E46" s="119"/>
      <c r="F46" s="124"/>
      <c r="G46" s="124"/>
      <c r="H46" s="124"/>
      <c r="I46" s="124"/>
      <c r="J46" s="124"/>
      <c r="K46" s="39"/>
    </row>
    <row r="48" spans="1:11" ht="12.75">
      <c r="A48" s="371" t="s">
        <v>240</v>
      </c>
      <c r="B48" s="372"/>
      <c r="C48" s="372"/>
      <c r="D48" s="372"/>
      <c r="E48" s="372"/>
      <c r="F48" s="372"/>
      <c r="G48" s="372"/>
      <c r="H48" s="372"/>
      <c r="I48" s="372"/>
      <c r="J48" s="372"/>
      <c r="K48" s="389"/>
    </row>
    <row r="49" spans="1:11" ht="12.75">
      <c r="A49" s="368"/>
      <c r="B49" s="369"/>
      <c r="C49" s="369"/>
      <c r="D49" s="369"/>
      <c r="E49" s="369"/>
      <c r="F49" s="369"/>
      <c r="G49" s="369"/>
      <c r="H49" s="369"/>
      <c r="I49" s="369"/>
      <c r="J49" s="369"/>
      <c r="K49" s="390"/>
    </row>
    <row r="50" spans="1:11" ht="12.75">
      <c r="A50" s="373"/>
      <c r="B50" s="374"/>
      <c r="C50" s="374"/>
      <c r="D50" s="374"/>
      <c r="E50" s="374"/>
      <c r="F50" s="374"/>
      <c r="G50" s="374"/>
      <c r="H50" s="374"/>
      <c r="I50" s="374"/>
      <c r="J50" s="374"/>
      <c r="K50" s="391"/>
    </row>
  </sheetData>
  <sheetProtection/>
  <mergeCells count="58">
    <mergeCell ref="A1:N1"/>
    <mergeCell ref="A27:D27"/>
    <mergeCell ref="E27:F27"/>
    <mergeCell ref="G27:H27"/>
    <mergeCell ref="I27:J27"/>
    <mergeCell ref="K21:L21"/>
    <mergeCell ref="M21:N21"/>
    <mergeCell ref="A22:B22"/>
    <mergeCell ref="G25:H26"/>
    <mergeCell ref="A26:D26"/>
    <mergeCell ref="A2:N4"/>
    <mergeCell ref="A5:C5"/>
    <mergeCell ref="A6:C6"/>
    <mergeCell ref="A7:N7"/>
    <mergeCell ref="A14:D14"/>
    <mergeCell ref="A15:D15"/>
    <mergeCell ref="E15:F15"/>
    <mergeCell ref="G15:H15"/>
    <mergeCell ref="G13:H14"/>
    <mergeCell ref="D23:D24"/>
    <mergeCell ref="M38:N39"/>
    <mergeCell ref="A8:N8"/>
    <mergeCell ref="A9:D9"/>
    <mergeCell ref="E9:F9"/>
    <mergeCell ref="G9:H9"/>
    <mergeCell ref="I9:J9"/>
    <mergeCell ref="K9:L9"/>
    <mergeCell ref="M9:N9"/>
    <mergeCell ref="A10:B10"/>
    <mergeCell ref="E21:F21"/>
    <mergeCell ref="G21:H21"/>
    <mergeCell ref="I21:J21"/>
    <mergeCell ref="I15:J15"/>
    <mergeCell ref="A20:N20"/>
    <mergeCell ref="M15:N15"/>
    <mergeCell ref="A16:B17"/>
    <mergeCell ref="A21:D21"/>
    <mergeCell ref="K15:L15"/>
    <mergeCell ref="M36:N36"/>
    <mergeCell ref="K27:L27"/>
    <mergeCell ref="M27:N27"/>
    <mergeCell ref="A35:N35"/>
    <mergeCell ref="A28:B29"/>
    <mergeCell ref="I36:J36"/>
    <mergeCell ref="K36:L36"/>
    <mergeCell ref="C36:D36"/>
    <mergeCell ref="E36:F36"/>
    <mergeCell ref="G36:H36"/>
    <mergeCell ref="A44:D46"/>
    <mergeCell ref="A39:B39"/>
    <mergeCell ref="A37:B37"/>
    <mergeCell ref="A48:K50"/>
    <mergeCell ref="C38:D38"/>
    <mergeCell ref="E38:F38"/>
    <mergeCell ref="G40:H41"/>
    <mergeCell ref="I38:J38"/>
    <mergeCell ref="K38:L38"/>
    <mergeCell ref="G38:H38"/>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3" r:id="rId1"/>
  <headerFooter alignWithMargins="0">
    <oddFooter>&amp;L&amp;F&amp;C&amp;A&amp;R&amp;D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36"/>
  <sheetViews>
    <sheetView zoomScalePageLayoutView="0" workbookViewId="0" topLeftCell="A10">
      <selection activeCell="G26" sqref="G26:H27"/>
    </sheetView>
  </sheetViews>
  <sheetFormatPr defaultColWidth="7.8515625" defaultRowHeight="12.75"/>
  <cols>
    <col min="1" max="2" width="10.28125" style="20" customWidth="1"/>
    <col min="3" max="4" width="9.7109375" style="20" customWidth="1"/>
    <col min="5" max="12" width="7.7109375" style="20" customWidth="1"/>
    <col min="13" max="14" width="7.7109375" style="6" customWidth="1"/>
    <col min="15" max="16384" width="7.8515625" style="20" customWidth="1"/>
  </cols>
  <sheetData>
    <row r="1" spans="1:14" s="89" customFormat="1" ht="33" customHeight="1">
      <c r="A1" s="370" t="s">
        <v>73</v>
      </c>
      <c r="B1" s="370"/>
      <c r="C1" s="370"/>
      <c r="D1" s="370"/>
      <c r="E1" s="370"/>
      <c r="F1" s="370"/>
      <c r="G1" s="370"/>
      <c r="H1" s="370"/>
      <c r="I1" s="370"/>
      <c r="J1" s="370"/>
      <c r="K1" s="370"/>
      <c r="L1" s="370"/>
      <c r="M1" s="370"/>
      <c r="N1" s="370"/>
    </row>
    <row r="2" spans="1:14" ht="18" customHeight="1">
      <c r="A2" s="348" t="s">
        <v>57</v>
      </c>
      <c r="B2" s="348"/>
      <c r="C2" s="348"/>
      <c r="D2" s="102">
        <f>'Base data'!B26+1</f>
        <v>41183</v>
      </c>
      <c r="E2" s="388" t="s">
        <v>74</v>
      </c>
      <c r="F2" s="388"/>
      <c r="G2" s="388"/>
      <c r="H2" s="388"/>
      <c r="I2" s="388"/>
      <c r="J2" s="388"/>
      <c r="M2" s="20"/>
      <c r="N2" s="20"/>
    </row>
    <row r="3" spans="1:14" ht="18" customHeight="1">
      <c r="A3" s="348" t="s">
        <v>54</v>
      </c>
      <c r="B3" s="348"/>
      <c r="C3" s="348"/>
      <c r="D3" s="102">
        <f>'Base data'!B29</f>
        <v>41273</v>
      </c>
      <c r="E3" s="388"/>
      <c r="F3" s="388"/>
      <c r="G3" s="388"/>
      <c r="H3" s="388"/>
      <c r="I3" s="388"/>
      <c r="J3" s="388"/>
      <c r="M3" s="20"/>
      <c r="N3" s="20"/>
    </row>
    <row r="4" spans="1:14" ht="18" customHeight="1">
      <c r="A4" s="348" t="s">
        <v>55</v>
      </c>
      <c r="B4" s="348"/>
      <c r="C4" s="348"/>
      <c r="D4" s="103">
        <f>+'Base data'!C28</f>
        <v>91</v>
      </c>
      <c r="E4" s="388"/>
      <c r="F4" s="388"/>
      <c r="G4" s="388"/>
      <c r="H4" s="388"/>
      <c r="I4" s="388"/>
      <c r="J4" s="388"/>
      <c r="M4" s="20"/>
      <c r="N4" s="20"/>
    </row>
    <row r="5" spans="1:14" ht="18" customHeight="1">
      <c r="A5" s="348" t="s">
        <v>56</v>
      </c>
      <c r="B5" s="348"/>
      <c r="C5" s="348"/>
      <c r="D5" s="104">
        <f>'Base data'!C29</f>
        <v>13</v>
      </c>
      <c r="E5" s="388"/>
      <c r="F5" s="388"/>
      <c r="G5" s="388"/>
      <c r="H5" s="388"/>
      <c r="I5" s="388"/>
      <c r="J5" s="388"/>
      <c r="M5" s="20"/>
      <c r="N5" s="20"/>
    </row>
    <row r="6" spans="1:14" ht="18" customHeight="1">
      <c r="A6" s="348" t="s">
        <v>58</v>
      </c>
      <c r="B6" s="348"/>
      <c r="C6" s="348"/>
      <c r="D6" s="105">
        <f>'Base data'!B10</f>
        <v>151.875</v>
      </c>
      <c r="E6" s="388"/>
      <c r="F6" s="388"/>
      <c r="G6" s="388"/>
      <c r="H6" s="388"/>
      <c r="I6" s="388"/>
      <c r="J6" s="388"/>
      <c r="M6" s="20"/>
      <c r="N6" s="20"/>
    </row>
    <row r="7" spans="1:14" ht="54" customHeight="1">
      <c r="A7" s="352" t="s">
        <v>241</v>
      </c>
      <c r="B7" s="352"/>
      <c r="C7" s="352"/>
      <c r="D7" s="352"/>
      <c r="E7" s="352"/>
      <c r="F7" s="352"/>
      <c r="G7" s="352"/>
      <c r="H7" s="352"/>
      <c r="I7" s="352"/>
      <c r="J7" s="352"/>
      <c r="K7" s="352"/>
      <c r="L7" s="352"/>
      <c r="M7" s="352"/>
      <c r="N7" s="352"/>
    </row>
    <row r="8" spans="1:14" ht="18" customHeight="1">
      <c r="A8" s="352" t="s">
        <v>60</v>
      </c>
      <c r="B8" s="352"/>
      <c r="C8" s="352"/>
      <c r="D8" s="352"/>
      <c r="E8" s="352"/>
      <c r="F8" s="352"/>
      <c r="G8" s="352"/>
      <c r="H8" s="352"/>
      <c r="I8" s="352"/>
      <c r="J8" s="352"/>
      <c r="K8" s="352"/>
      <c r="L8" s="352"/>
      <c r="M8" s="352"/>
      <c r="N8" s="352"/>
    </row>
    <row r="9" spans="1:14" ht="19.5" customHeight="1">
      <c r="A9" s="349" t="s">
        <v>35</v>
      </c>
      <c r="B9" s="349"/>
      <c r="C9" s="349"/>
      <c r="D9" s="349"/>
      <c r="E9" s="349"/>
      <c r="F9" s="349"/>
      <c r="G9" s="349"/>
      <c r="H9" s="349"/>
      <c r="I9" s="349"/>
      <c r="J9" s="349"/>
      <c r="K9" s="349"/>
      <c r="L9" s="349"/>
      <c r="M9" s="349"/>
      <c r="N9" s="349"/>
    </row>
    <row r="10" spans="1:17" s="5" customFormat="1" ht="41.25" customHeight="1">
      <c r="A10" s="351" t="s">
        <v>36</v>
      </c>
      <c r="B10" s="351"/>
      <c r="C10" s="351"/>
      <c r="D10" s="351"/>
      <c r="E10" s="344" t="s">
        <v>37</v>
      </c>
      <c r="F10" s="344"/>
      <c r="G10" s="345" t="s">
        <v>266</v>
      </c>
      <c r="H10" s="346"/>
      <c r="I10" s="336" t="s">
        <v>39</v>
      </c>
      <c r="J10" s="337"/>
      <c r="K10" s="345" t="s">
        <v>7</v>
      </c>
      <c r="L10" s="346"/>
      <c r="M10" s="336" t="s">
        <v>252</v>
      </c>
      <c r="N10" s="337"/>
      <c r="O10" s="110"/>
      <c r="P10" s="111"/>
      <c r="Q10" s="20"/>
    </row>
    <row r="11" spans="1:17" s="5" customFormat="1" ht="12.75">
      <c r="A11" s="347" t="s">
        <v>25</v>
      </c>
      <c r="B11" s="347"/>
      <c r="C11" s="32">
        <f>D6*0.125</f>
        <v>18.984375</v>
      </c>
      <c r="D11" s="33" t="s">
        <v>4</v>
      </c>
      <c r="E11" s="113">
        <f>D6*4000/266667</f>
        <v>2.2781221523473096</v>
      </c>
      <c r="F11" s="7" t="s">
        <v>4</v>
      </c>
      <c r="G11" s="30">
        <f>D6*0.0067</f>
        <v>1.0175625</v>
      </c>
      <c r="H11" s="31" t="s">
        <v>5</v>
      </c>
      <c r="I11" s="8">
        <v>0</v>
      </c>
      <c r="J11" s="7" t="s">
        <v>4</v>
      </c>
      <c r="K11" s="30">
        <f>D6*0.0067</f>
        <v>1.0175625</v>
      </c>
      <c r="L11" s="106" t="s">
        <v>5</v>
      </c>
      <c r="M11" s="37">
        <f>'Base data'!B8*0.5/1000</f>
        <v>1</v>
      </c>
      <c r="N11" s="34" t="s">
        <v>5</v>
      </c>
      <c r="O11" s="107"/>
      <c r="P11" s="19"/>
      <c r="Q11" s="20"/>
    </row>
    <row r="12" spans="1:17" s="5" customFormat="1" ht="12.75">
      <c r="A12" s="115"/>
      <c r="B12" s="115"/>
      <c r="C12" s="231">
        <f>C11/3.7</f>
        <v>5.130912162162162</v>
      </c>
      <c r="D12" s="367" t="s">
        <v>258</v>
      </c>
      <c r="E12" s="8">
        <f>E11/3.5</f>
        <v>0.6508920435278027</v>
      </c>
      <c r="F12" s="7" t="s">
        <v>15</v>
      </c>
      <c r="G12" s="30">
        <f>G11/5</f>
        <v>0.20351249999999999</v>
      </c>
      <c r="H12" s="31" t="s">
        <v>15</v>
      </c>
      <c r="I12" s="8">
        <v>0</v>
      </c>
      <c r="J12" s="7" t="s">
        <v>15</v>
      </c>
      <c r="K12" s="30">
        <f>K11/5</f>
        <v>0.20351249999999999</v>
      </c>
      <c r="L12" s="31" t="s">
        <v>15</v>
      </c>
      <c r="M12" s="8">
        <f>M11/5</f>
        <v>0.2</v>
      </c>
      <c r="N12" s="7" t="s">
        <v>15</v>
      </c>
      <c r="O12" s="107"/>
      <c r="P12" s="19"/>
      <c r="Q12" s="20"/>
    </row>
    <row r="13" spans="1:17" s="5" customFormat="1" ht="12.75">
      <c r="A13" s="87"/>
      <c r="B13" s="87"/>
      <c r="C13" s="232"/>
      <c r="D13" s="367"/>
      <c r="E13" s="112">
        <f>E11/0.25</f>
        <v>9.112488609389239</v>
      </c>
      <c r="F13" s="7" t="s">
        <v>62</v>
      </c>
      <c r="G13" s="32">
        <f>G11*30</f>
        <v>30.526874999999997</v>
      </c>
      <c r="H13" s="31" t="s">
        <v>61</v>
      </c>
      <c r="I13" s="112">
        <f>I11/0.2</f>
        <v>0</v>
      </c>
      <c r="J13" s="7" t="s">
        <v>62</v>
      </c>
      <c r="K13" s="32">
        <f>K11*30</f>
        <v>30.526874999999997</v>
      </c>
      <c r="L13" s="106" t="s">
        <v>61</v>
      </c>
      <c r="M13" s="8">
        <f>M11*30</f>
        <v>30</v>
      </c>
      <c r="N13" s="7" t="s">
        <v>61</v>
      </c>
      <c r="O13" s="18"/>
      <c r="P13" s="19"/>
      <c r="Q13" s="20"/>
    </row>
    <row r="14" spans="1:13" s="21" customFormat="1" ht="12.75" customHeight="1">
      <c r="A14" s="87"/>
      <c r="B14" s="16"/>
      <c r="C14" s="16"/>
      <c r="D14" s="17"/>
      <c r="E14" s="18"/>
      <c r="F14" s="18"/>
      <c r="G14" s="339" t="s">
        <v>243</v>
      </c>
      <c r="H14" s="340"/>
      <c r="I14" s="109"/>
      <c r="J14" s="109"/>
      <c r="K14" s="109"/>
      <c r="L14" s="109"/>
      <c r="M14" s="109"/>
    </row>
    <row r="15" spans="1:17" s="5" customFormat="1" ht="22.5" customHeight="1">
      <c r="A15" s="338" t="s">
        <v>30</v>
      </c>
      <c r="B15" s="338"/>
      <c r="C15" s="338"/>
      <c r="D15" s="338"/>
      <c r="E15" s="41"/>
      <c r="F15" s="41"/>
      <c r="G15" s="341"/>
      <c r="H15" s="342"/>
      <c r="I15" s="41"/>
      <c r="J15" s="41"/>
      <c r="K15" s="41"/>
      <c r="L15" s="41"/>
      <c r="M15" s="41"/>
      <c r="N15" s="41"/>
      <c r="O15" s="21"/>
      <c r="P15" s="21"/>
      <c r="Q15" s="20"/>
    </row>
    <row r="16" spans="1:17" s="5" customFormat="1" ht="58.5" customHeight="1">
      <c r="A16" s="334" t="s">
        <v>38</v>
      </c>
      <c r="B16" s="334"/>
      <c r="C16" s="335"/>
      <c r="D16" s="335"/>
      <c r="E16" s="344" t="s">
        <v>20</v>
      </c>
      <c r="F16" s="344"/>
      <c r="G16" s="345" t="s">
        <v>262</v>
      </c>
      <c r="H16" s="346"/>
      <c r="I16" s="336" t="s">
        <v>39</v>
      </c>
      <c r="J16" s="337"/>
      <c r="K16" s="350" t="s">
        <v>18</v>
      </c>
      <c r="L16" s="350"/>
      <c r="M16" s="336" t="s">
        <v>254</v>
      </c>
      <c r="N16" s="337"/>
      <c r="O16" s="110"/>
      <c r="P16" s="111"/>
      <c r="Q16" s="20"/>
    </row>
    <row r="17" spans="1:17" s="5" customFormat="1" ht="15" customHeight="1">
      <c r="A17" s="343"/>
      <c r="B17" s="343"/>
      <c r="C17" s="35">
        <f>E11/4</f>
        <v>0.5695305380868274</v>
      </c>
      <c r="D17" s="36" t="s">
        <v>4</v>
      </c>
      <c r="E17" s="8">
        <f>E11/5.6</f>
        <v>0.40680752720487673</v>
      </c>
      <c r="F17" s="7" t="s">
        <v>4</v>
      </c>
      <c r="G17" s="30">
        <f>G11/2</f>
        <v>0.50878125</v>
      </c>
      <c r="H17" s="106" t="s">
        <v>4</v>
      </c>
      <c r="I17" s="8">
        <f>I11</f>
        <v>0</v>
      </c>
      <c r="J17" s="7" t="s">
        <v>4</v>
      </c>
      <c r="K17" s="35">
        <f>K11</f>
        <v>1.0175625</v>
      </c>
      <c r="L17" s="33" t="s">
        <v>4</v>
      </c>
      <c r="M17" s="8">
        <f>M11</f>
        <v>1</v>
      </c>
      <c r="N17" s="34" t="s">
        <v>5</v>
      </c>
      <c r="O17" s="108"/>
      <c r="P17" s="17"/>
      <c r="Q17" s="20"/>
    </row>
    <row r="18" spans="1:17" s="5" customFormat="1" ht="15" customHeight="1">
      <c r="A18" s="335"/>
      <c r="B18" s="335"/>
      <c r="C18" s="35">
        <f>C17/3.5</f>
        <v>0.16272301088195068</v>
      </c>
      <c r="D18" s="33" t="s">
        <v>15</v>
      </c>
      <c r="E18" s="8">
        <f>E17/3.5</f>
        <v>0.11623072205853621</v>
      </c>
      <c r="F18" s="7" t="s">
        <v>15</v>
      </c>
      <c r="G18" s="30">
        <f>G11/2.5</f>
        <v>0.40702499999999997</v>
      </c>
      <c r="H18" s="117" t="s">
        <v>15</v>
      </c>
      <c r="I18" s="8">
        <f>I12</f>
        <v>0</v>
      </c>
      <c r="J18" s="7" t="s">
        <v>15</v>
      </c>
      <c r="K18" s="35">
        <f>K11/4</f>
        <v>0.254390625</v>
      </c>
      <c r="L18" s="33" t="s">
        <v>15</v>
      </c>
      <c r="M18" s="8">
        <f>M17/5</f>
        <v>0.2</v>
      </c>
      <c r="N18" s="7" t="s">
        <v>15</v>
      </c>
      <c r="O18" s="108"/>
      <c r="P18" s="17"/>
      <c r="Q18" s="20"/>
    </row>
    <row r="19" spans="1:17" s="5" customFormat="1" ht="12.75">
      <c r="A19" s="115"/>
      <c r="B19" s="87"/>
      <c r="C19" s="32">
        <f>C17/0.25</f>
        <v>2.2781221523473096</v>
      </c>
      <c r="D19" s="106" t="s">
        <v>62</v>
      </c>
      <c r="E19" s="112">
        <f>E17/0.25</f>
        <v>1.627230108819507</v>
      </c>
      <c r="F19" s="7" t="s">
        <v>62</v>
      </c>
      <c r="G19" s="32">
        <f>G17*4</f>
        <v>2.035125</v>
      </c>
      <c r="H19" s="31" t="s">
        <v>62</v>
      </c>
      <c r="I19" s="112">
        <f>I17/0.2</f>
        <v>0</v>
      </c>
      <c r="J19" s="7" t="s">
        <v>62</v>
      </c>
      <c r="K19" s="32">
        <f>K17/0.25</f>
        <v>4.07025</v>
      </c>
      <c r="L19" s="106" t="s">
        <v>62</v>
      </c>
      <c r="M19" s="8">
        <f>M17*30</f>
        <v>30</v>
      </c>
      <c r="N19" s="7" t="s">
        <v>61</v>
      </c>
      <c r="O19" s="18"/>
      <c r="P19" s="19"/>
      <c r="Q19" s="20"/>
    </row>
    <row r="20" spans="1:8" s="5" customFormat="1" ht="12.75">
      <c r="A20" s="168"/>
      <c r="B20" s="4"/>
      <c r="C20" s="3"/>
      <c r="D20" s="2"/>
      <c r="E20" s="2"/>
      <c r="F20" s="3"/>
      <c r="G20" s="3"/>
      <c r="H20" s="3"/>
    </row>
    <row r="21" spans="1:14" s="5" customFormat="1" ht="12.75" customHeight="1">
      <c r="A21" s="329" t="s">
        <v>59</v>
      </c>
      <c r="B21" s="330"/>
      <c r="C21" s="330"/>
      <c r="D21" s="330"/>
      <c r="E21" s="330"/>
      <c r="F21" s="330"/>
      <c r="G21" s="330"/>
      <c r="H21" s="331"/>
      <c r="I21" s="13"/>
      <c r="J21" s="88"/>
      <c r="K21" s="88"/>
      <c r="L21" s="88"/>
      <c r="M21" s="88"/>
      <c r="N21" s="88"/>
    </row>
    <row r="22" spans="1:14" s="5" customFormat="1" ht="12.75" customHeight="1">
      <c r="A22" s="167"/>
      <c r="B22" s="139"/>
      <c r="C22" s="360" t="s">
        <v>16</v>
      </c>
      <c r="D22" s="360"/>
      <c r="E22" s="332" t="s">
        <v>8</v>
      </c>
      <c r="F22" s="353"/>
      <c r="G22" s="358" t="s">
        <v>239</v>
      </c>
      <c r="H22" s="359"/>
      <c r="I22" s="332" t="s">
        <v>17</v>
      </c>
      <c r="J22" s="353"/>
      <c r="K22" s="358" t="s">
        <v>9</v>
      </c>
      <c r="L22" s="359"/>
      <c r="M22" s="332" t="s">
        <v>252</v>
      </c>
      <c r="N22" s="333"/>
    </row>
    <row r="23" spans="1:14" ht="12.75">
      <c r="A23" s="354"/>
      <c r="B23" s="355"/>
      <c r="C23" s="131">
        <f>C11*$D$4</f>
        <v>1727.578125</v>
      </c>
      <c r="D23" s="132" t="s">
        <v>4</v>
      </c>
      <c r="E23" s="133">
        <f>E11*$D$4</f>
        <v>207.30911586360517</v>
      </c>
      <c r="F23" s="134" t="s">
        <v>4</v>
      </c>
      <c r="G23" s="131">
        <f>G11*$D$5</f>
        <v>13.2283125</v>
      </c>
      <c r="H23" s="132" t="s">
        <v>5</v>
      </c>
      <c r="I23" s="133">
        <f>I11*$D$4</f>
        <v>0</v>
      </c>
      <c r="J23" s="134" t="s">
        <v>4</v>
      </c>
      <c r="K23" s="131">
        <f>K11*$D$5</f>
        <v>13.2283125</v>
      </c>
      <c r="L23" s="132" t="s">
        <v>5</v>
      </c>
      <c r="M23" s="133">
        <f>M11*$D$4</f>
        <v>91</v>
      </c>
      <c r="N23" s="134" t="s">
        <v>5</v>
      </c>
    </row>
    <row r="24" spans="1:14" ht="12.75">
      <c r="A24" s="141"/>
      <c r="B24" s="140"/>
      <c r="C24" s="360" t="s">
        <v>91</v>
      </c>
      <c r="D24" s="360"/>
      <c r="E24" s="375" t="s">
        <v>92</v>
      </c>
      <c r="F24" s="375"/>
      <c r="G24" s="365" t="s">
        <v>262</v>
      </c>
      <c r="H24" s="366"/>
      <c r="I24" s="356"/>
      <c r="J24" s="357"/>
      <c r="K24" s="360" t="s">
        <v>19</v>
      </c>
      <c r="L24" s="360"/>
      <c r="M24" s="88"/>
      <c r="N24" s="88"/>
    </row>
    <row r="25" spans="1:14" ht="12.75">
      <c r="A25" s="354"/>
      <c r="B25" s="355"/>
      <c r="C25" s="131">
        <f>C17*$D$4</f>
        <v>51.82727896590129</v>
      </c>
      <c r="D25" s="132" t="s">
        <v>4</v>
      </c>
      <c r="E25" s="133">
        <f>E17*$D$4</f>
        <v>37.019484975643785</v>
      </c>
      <c r="F25" s="134" t="s">
        <v>4</v>
      </c>
      <c r="G25" s="237">
        <f>G17*D5</f>
        <v>6.61415625</v>
      </c>
      <c r="H25" s="236" t="s">
        <v>4</v>
      </c>
      <c r="I25" s="135"/>
      <c r="J25" s="136"/>
      <c r="K25" s="131">
        <f>K23</f>
        <v>13.2283125</v>
      </c>
      <c r="L25" s="132" t="s">
        <v>4</v>
      </c>
      <c r="M25" s="88"/>
      <c r="N25" s="88"/>
    </row>
    <row r="26" spans="1:14" ht="22.5" customHeight="1">
      <c r="A26" s="141"/>
      <c r="B26" s="141"/>
      <c r="C26" s="122"/>
      <c r="D26" s="142"/>
      <c r="E26" s="122"/>
      <c r="F26" s="235"/>
      <c r="G26" s="417" t="s">
        <v>26</v>
      </c>
      <c r="H26" s="418"/>
      <c r="I26" s="135"/>
      <c r="J26" s="234"/>
      <c r="K26" s="135"/>
      <c r="L26" s="234"/>
      <c r="M26" s="88"/>
      <c r="N26" s="88"/>
    </row>
    <row r="27" spans="1:14" ht="22.5" customHeight="1">
      <c r="A27" s="141"/>
      <c r="B27" s="141"/>
      <c r="C27" s="135"/>
      <c r="D27" s="234"/>
      <c r="E27" s="135"/>
      <c r="F27" s="136"/>
      <c r="G27" s="419"/>
      <c r="H27" s="420"/>
      <c r="I27" s="135"/>
      <c r="J27" s="234"/>
      <c r="K27" s="135"/>
      <c r="L27" s="234"/>
      <c r="M27" s="88"/>
      <c r="N27" s="88"/>
    </row>
    <row r="28" spans="1:14" ht="12.75">
      <c r="A28" s="141"/>
      <c r="B28" s="141"/>
      <c r="C28" s="135"/>
      <c r="D28" s="234"/>
      <c r="E28" s="21"/>
      <c r="F28" s="21"/>
      <c r="G28" s="135"/>
      <c r="H28" s="21"/>
      <c r="J28" s="88"/>
      <c r="K28" s="88"/>
      <c r="L28" s="88"/>
      <c r="M28" s="88"/>
      <c r="N28" s="88"/>
    </row>
    <row r="29" spans="1:2" ht="12.75">
      <c r="A29" s="124"/>
      <c r="B29" s="124"/>
    </row>
    <row r="30" spans="1:13" ht="12.75" customHeight="1">
      <c r="A30" s="371" t="s">
        <v>63</v>
      </c>
      <c r="B30" s="372"/>
      <c r="C30" s="372"/>
      <c r="D30" s="372"/>
      <c r="E30" s="38" t="s">
        <v>8</v>
      </c>
      <c r="F30" s="38"/>
      <c r="G30" s="122">
        <f>E11/C11*1000</f>
        <v>119.99985000018751</v>
      </c>
      <c r="H30" s="38" t="s">
        <v>64</v>
      </c>
      <c r="I30" s="38"/>
      <c r="J30" s="122">
        <f>E17/C11*1000</f>
        <v>21.42854464289063</v>
      </c>
      <c r="K30" s="125"/>
      <c r="L30" s="121"/>
      <c r="M30" s="121"/>
    </row>
    <row r="31" spans="1:13" ht="12.75">
      <c r="A31" s="368"/>
      <c r="B31" s="369"/>
      <c r="C31" s="369"/>
      <c r="D31" s="369"/>
      <c r="E31" s="21" t="s">
        <v>17</v>
      </c>
      <c r="F31" s="21"/>
      <c r="G31" s="21">
        <f>I11/C11*1000</f>
        <v>0</v>
      </c>
      <c r="H31" s="21"/>
      <c r="I31" s="123"/>
      <c r="J31" s="123"/>
      <c r="K31" s="126"/>
      <c r="L31" s="121"/>
      <c r="M31" s="121"/>
    </row>
    <row r="32" spans="1:11" ht="12.75">
      <c r="A32" s="373"/>
      <c r="B32" s="374"/>
      <c r="C32" s="374"/>
      <c r="D32" s="374"/>
      <c r="E32" s="119"/>
      <c r="F32" s="124"/>
      <c r="G32" s="124"/>
      <c r="H32" s="124"/>
      <c r="I32" s="124"/>
      <c r="J32" s="124"/>
      <c r="K32" s="39"/>
    </row>
    <row r="34" spans="1:11" ht="12.75">
      <c r="A34" s="371" t="s">
        <v>240</v>
      </c>
      <c r="B34" s="372"/>
      <c r="C34" s="372"/>
      <c r="D34" s="372"/>
      <c r="E34" s="372"/>
      <c r="F34" s="372"/>
      <c r="G34" s="372"/>
      <c r="H34" s="372"/>
      <c r="I34" s="372"/>
      <c r="J34" s="372"/>
      <c r="K34" s="389"/>
    </row>
    <row r="35" spans="1:11" ht="12.75">
      <c r="A35" s="368"/>
      <c r="B35" s="369"/>
      <c r="C35" s="369"/>
      <c r="D35" s="369"/>
      <c r="E35" s="369"/>
      <c r="F35" s="369"/>
      <c r="G35" s="369"/>
      <c r="H35" s="369"/>
      <c r="I35" s="369"/>
      <c r="J35" s="369"/>
      <c r="K35" s="390"/>
    </row>
    <row r="36" spans="1:11" ht="12.75">
      <c r="A36" s="373"/>
      <c r="B36" s="374"/>
      <c r="C36" s="374"/>
      <c r="D36" s="374"/>
      <c r="E36" s="374"/>
      <c r="F36" s="374"/>
      <c r="G36" s="374"/>
      <c r="H36" s="374"/>
      <c r="I36" s="374"/>
      <c r="J36" s="374"/>
      <c r="K36" s="391"/>
    </row>
  </sheetData>
  <sheetProtection/>
  <mergeCells count="44">
    <mergeCell ref="A30:D32"/>
    <mergeCell ref="A34:K36"/>
    <mergeCell ref="M22:N22"/>
    <mergeCell ref="A23:B23"/>
    <mergeCell ref="C24:D24"/>
    <mergeCell ref="E24:F24"/>
    <mergeCell ref="G26:H27"/>
    <mergeCell ref="I24:J24"/>
    <mergeCell ref="K24:L24"/>
    <mergeCell ref="A25:B25"/>
    <mergeCell ref="A11:B11"/>
    <mergeCell ref="G14:H15"/>
    <mergeCell ref="A15:D15"/>
    <mergeCell ref="A16:D16"/>
    <mergeCell ref="E16:F16"/>
    <mergeCell ref="G16:H16"/>
    <mergeCell ref="D12:D13"/>
    <mergeCell ref="M16:N16"/>
    <mergeCell ref="I22:J22"/>
    <mergeCell ref="A21:H21"/>
    <mergeCell ref="I16:J16"/>
    <mergeCell ref="K16:L16"/>
    <mergeCell ref="A17:B18"/>
    <mergeCell ref="C22:D22"/>
    <mergeCell ref="E22:F22"/>
    <mergeCell ref="G22:H22"/>
    <mergeCell ref="K22:L22"/>
    <mergeCell ref="A9:N9"/>
    <mergeCell ref="A10:D10"/>
    <mergeCell ref="E10:F10"/>
    <mergeCell ref="G10:H10"/>
    <mergeCell ref="I10:J10"/>
    <mergeCell ref="K10:L10"/>
    <mergeCell ref="M10:N10"/>
    <mergeCell ref="G24:H24"/>
    <mergeCell ref="A7:N7"/>
    <mergeCell ref="A8:N8"/>
    <mergeCell ref="E2:J6"/>
    <mergeCell ref="A1:N1"/>
    <mergeCell ref="A2:C2"/>
    <mergeCell ref="A3:C3"/>
    <mergeCell ref="A4:C4"/>
    <mergeCell ref="A5:C5"/>
    <mergeCell ref="A6:C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5"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7">
      <selection activeCell="D18" sqref="D18"/>
    </sheetView>
  </sheetViews>
  <sheetFormatPr defaultColWidth="9.140625" defaultRowHeight="12.75"/>
  <cols>
    <col min="1" max="1" width="21.140625" style="15" customWidth="1"/>
    <col min="2" max="2" width="36.421875" style="0" customWidth="1"/>
    <col min="3" max="3" width="35.28125" style="0" customWidth="1"/>
    <col min="4" max="4" width="18.140625" style="0" customWidth="1"/>
  </cols>
  <sheetData>
    <row r="1" spans="1:10" ht="18">
      <c r="A1" s="421" t="s">
        <v>147</v>
      </c>
      <c r="B1" s="422"/>
      <c r="C1" s="422"/>
      <c r="D1" s="423"/>
      <c r="E1" s="157"/>
      <c r="F1" s="157"/>
      <c r="G1" s="157"/>
      <c r="H1" s="157"/>
      <c r="I1" s="157"/>
      <c r="J1" s="157"/>
    </row>
    <row r="3" spans="1:4" s="15" customFormat="1" ht="12.75">
      <c r="A3" s="179" t="s">
        <v>148</v>
      </c>
      <c r="B3" s="180" t="s">
        <v>149</v>
      </c>
      <c r="C3" s="180" t="s">
        <v>150</v>
      </c>
      <c r="D3" s="181" t="s">
        <v>30</v>
      </c>
    </row>
    <row r="4" spans="1:4" s="15" customFormat="1" ht="12.75">
      <c r="A4" s="179"/>
      <c r="B4" s="208"/>
      <c r="C4" s="208"/>
      <c r="D4" s="209"/>
    </row>
    <row r="5" spans="1:4" s="15" customFormat="1" ht="12.75">
      <c r="A5" s="182" t="s">
        <v>190</v>
      </c>
      <c r="B5" s="183" t="s">
        <v>191</v>
      </c>
      <c r="C5" s="186" t="s">
        <v>151</v>
      </c>
      <c r="D5" s="184" t="s">
        <v>91</v>
      </c>
    </row>
    <row r="6" spans="1:4" s="15" customFormat="1" ht="25.5">
      <c r="A6" s="182"/>
      <c r="B6" s="210" t="s">
        <v>192</v>
      </c>
      <c r="C6" s="186" t="s">
        <v>157</v>
      </c>
      <c r="D6" s="211" t="s">
        <v>193</v>
      </c>
    </row>
    <row r="7" spans="1:4" s="15" customFormat="1" ht="12.75">
      <c r="A7" s="182"/>
      <c r="B7" s="183"/>
      <c r="C7" s="186" t="s">
        <v>152</v>
      </c>
      <c r="D7" s="212"/>
    </row>
    <row r="8" spans="1:4" s="15" customFormat="1" ht="12.75">
      <c r="A8" s="182"/>
      <c r="B8" s="183"/>
      <c r="C8" s="186" t="s">
        <v>153</v>
      </c>
      <c r="D8" s="212"/>
    </row>
    <row r="9" spans="1:4" s="15" customFormat="1" ht="12.75">
      <c r="A9" s="200"/>
      <c r="B9" s="216"/>
      <c r="C9" s="201" t="s">
        <v>154</v>
      </c>
      <c r="D9" s="217"/>
    </row>
    <row r="10" spans="1:4" ht="12.75">
      <c r="A10" s="179"/>
      <c r="B10" s="203"/>
      <c r="C10" s="203"/>
      <c r="D10" s="204"/>
    </row>
    <row r="11" spans="1:4" s="158" customFormat="1" ht="25.5">
      <c r="A11" s="213" t="s">
        <v>8</v>
      </c>
      <c r="B11" s="186" t="s">
        <v>171</v>
      </c>
      <c r="C11" s="186" t="s">
        <v>151</v>
      </c>
      <c r="D11" s="188" t="s">
        <v>92</v>
      </c>
    </row>
    <row r="12" spans="1:4" s="158" customFormat="1" ht="25.5">
      <c r="A12" s="213"/>
      <c r="B12" s="186" t="s">
        <v>155</v>
      </c>
      <c r="C12" s="186" t="s">
        <v>157</v>
      </c>
      <c r="D12" s="188" t="s">
        <v>172</v>
      </c>
    </row>
    <row r="13" spans="1:4" s="158" customFormat="1" ht="12.75">
      <c r="A13" s="213"/>
      <c r="B13" s="186" t="s">
        <v>156</v>
      </c>
      <c r="C13" s="186" t="s">
        <v>152</v>
      </c>
      <c r="D13" s="188"/>
    </row>
    <row r="14" spans="1:4" s="158" customFormat="1" ht="12.75">
      <c r="A14" s="213"/>
      <c r="B14" s="186"/>
      <c r="C14" s="186" t="s">
        <v>153</v>
      </c>
      <c r="D14" s="188"/>
    </row>
    <row r="15" spans="1:4" s="158" customFormat="1" ht="12.75">
      <c r="A15" s="218"/>
      <c r="B15" s="201"/>
      <c r="C15" s="201" t="s">
        <v>154</v>
      </c>
      <c r="D15" s="202"/>
    </row>
    <row r="16" spans="1:4" s="158" customFormat="1" ht="12.75">
      <c r="A16" s="219"/>
      <c r="B16" s="198"/>
      <c r="C16" s="198"/>
      <c r="D16" s="199"/>
    </row>
    <row r="17" spans="1:4" s="158" customFormat="1" ht="12.75">
      <c r="A17" s="213" t="s">
        <v>239</v>
      </c>
      <c r="B17" s="186" t="s">
        <v>158</v>
      </c>
      <c r="C17" s="186" t="s">
        <v>159</v>
      </c>
      <c r="D17" s="211" t="s">
        <v>262</v>
      </c>
    </row>
    <row r="18" spans="1:4" s="158" customFormat="1" ht="12.75">
      <c r="A18" s="213"/>
      <c r="B18" s="186" t="s">
        <v>162</v>
      </c>
      <c r="C18" s="186" t="s">
        <v>160</v>
      </c>
      <c r="D18" s="188"/>
    </row>
    <row r="19" spans="1:4" s="158" customFormat="1" ht="12.75">
      <c r="A19" s="213"/>
      <c r="B19" s="186" t="s">
        <v>163</v>
      </c>
      <c r="C19" s="186" t="s">
        <v>161</v>
      </c>
      <c r="D19" s="188"/>
    </row>
    <row r="20" spans="1:4" s="158" customFormat="1" ht="12.75">
      <c r="A20" s="213"/>
      <c r="B20" s="186" t="s">
        <v>167</v>
      </c>
      <c r="C20" s="186"/>
      <c r="D20" s="188"/>
    </row>
    <row r="21" spans="1:4" s="158" customFormat="1" ht="12.75">
      <c r="A21" s="213"/>
      <c r="B21" s="186" t="s">
        <v>168</v>
      </c>
      <c r="C21" s="186"/>
      <c r="D21" s="188"/>
    </row>
    <row r="22" spans="1:4" s="158" customFormat="1" ht="25.5">
      <c r="A22" s="213"/>
      <c r="B22" s="186" t="s">
        <v>169</v>
      </c>
      <c r="C22" s="186"/>
      <c r="D22" s="188"/>
    </row>
    <row r="23" spans="1:4" s="158" customFormat="1" ht="12.75">
      <c r="A23" s="218"/>
      <c r="B23" s="201" t="s">
        <v>170</v>
      </c>
      <c r="C23" s="201"/>
      <c r="D23" s="202"/>
    </row>
    <row r="24" spans="1:4" s="158" customFormat="1" ht="12.75">
      <c r="A24" s="219"/>
      <c r="B24" s="198"/>
      <c r="C24" s="198"/>
      <c r="D24" s="199"/>
    </row>
    <row r="25" spans="1:4" s="158" customFormat="1" ht="12.75">
      <c r="A25" s="213" t="s">
        <v>17</v>
      </c>
      <c r="B25" s="186" t="s">
        <v>165</v>
      </c>
      <c r="C25" s="186" t="s">
        <v>175</v>
      </c>
      <c r="D25" s="188" t="s">
        <v>164</v>
      </c>
    </row>
    <row r="26" spans="1:4" s="158" customFormat="1" ht="12.75">
      <c r="A26" s="213"/>
      <c r="B26" s="186" t="s">
        <v>166</v>
      </c>
      <c r="C26" s="186" t="s">
        <v>176</v>
      </c>
      <c r="D26" s="188"/>
    </row>
    <row r="27" spans="1:4" s="158" customFormat="1" ht="12.75">
      <c r="A27" s="213"/>
      <c r="B27" s="186" t="s">
        <v>173</v>
      </c>
      <c r="C27" s="186" t="s">
        <v>177</v>
      </c>
      <c r="D27" s="188"/>
    </row>
    <row r="28" spans="1:4" s="158" customFormat="1" ht="25.5">
      <c r="A28" s="218"/>
      <c r="B28" s="201" t="s">
        <v>174</v>
      </c>
      <c r="C28" s="201"/>
      <c r="D28" s="202"/>
    </row>
    <row r="29" spans="1:4" s="158" customFormat="1" ht="12.75">
      <c r="A29" s="219"/>
      <c r="B29" s="198"/>
      <c r="C29" s="198"/>
      <c r="D29" s="199"/>
    </row>
    <row r="30" spans="1:4" s="158" customFormat="1" ht="12.75">
      <c r="A30" s="213" t="s">
        <v>9</v>
      </c>
      <c r="B30" s="186" t="s">
        <v>178</v>
      </c>
      <c r="C30" s="186" t="s">
        <v>181</v>
      </c>
      <c r="D30" s="188" t="s">
        <v>19</v>
      </c>
    </row>
    <row r="31" spans="1:4" s="158" customFormat="1" ht="25.5">
      <c r="A31" s="213"/>
      <c r="B31" s="186" t="s">
        <v>179</v>
      </c>
      <c r="C31" s="186" t="s">
        <v>182</v>
      </c>
      <c r="D31" s="188" t="s">
        <v>186</v>
      </c>
    </row>
    <row r="32" spans="1:4" s="158" customFormat="1" ht="12.75">
      <c r="A32" s="218"/>
      <c r="B32" s="201" t="s">
        <v>180</v>
      </c>
      <c r="C32" s="201"/>
      <c r="D32" s="202"/>
    </row>
    <row r="33" spans="1:4" ht="12.75">
      <c r="A33" s="179"/>
      <c r="B33" s="203"/>
      <c r="C33" s="203"/>
      <c r="D33" s="204"/>
    </row>
    <row r="34" spans="1:4" ht="12.75">
      <c r="A34" s="182" t="s">
        <v>252</v>
      </c>
      <c r="B34" s="192" t="s">
        <v>183</v>
      </c>
      <c r="C34" s="192" t="s">
        <v>185</v>
      </c>
      <c r="D34" s="193" t="s">
        <v>164</v>
      </c>
    </row>
    <row r="35" spans="1:4" ht="12.75">
      <c r="A35" s="200"/>
      <c r="B35" s="214" t="s">
        <v>184</v>
      </c>
      <c r="C35" s="214"/>
      <c r="D35" s="215"/>
    </row>
    <row r="36" spans="1:4" ht="12.75">
      <c r="A36" s="182"/>
      <c r="B36" s="192"/>
      <c r="C36" s="192"/>
      <c r="D36" s="193"/>
    </row>
    <row r="37" spans="1:4" ht="15.75">
      <c r="A37" s="424" t="s">
        <v>197</v>
      </c>
      <c r="B37" s="425"/>
      <c r="C37" s="425"/>
      <c r="D37" s="426"/>
    </row>
    <row r="38" spans="1:4" ht="15.75">
      <c r="A38" s="220"/>
      <c r="B38" s="221"/>
      <c r="C38" s="221"/>
      <c r="D38" s="222"/>
    </row>
    <row r="39" spans="1:4" s="5" customFormat="1" ht="12.75">
      <c r="A39" s="182" t="s">
        <v>250</v>
      </c>
      <c r="B39" s="183" t="s">
        <v>187</v>
      </c>
      <c r="C39" s="183" t="s">
        <v>188</v>
      </c>
      <c r="D39" s="184"/>
    </row>
    <row r="40" spans="1:4" ht="12.75">
      <c r="A40" s="200"/>
      <c r="B40" s="214"/>
      <c r="C40" s="214" t="s">
        <v>189</v>
      </c>
      <c r="D40" s="215"/>
    </row>
    <row r="41" spans="1:4" ht="12.75">
      <c r="A41" s="179"/>
      <c r="B41" s="203"/>
      <c r="C41" s="203"/>
      <c r="D41" s="204"/>
    </row>
    <row r="42" spans="1:4" s="158" customFormat="1" ht="25.5">
      <c r="A42" s="213" t="s">
        <v>194</v>
      </c>
      <c r="B42" s="186" t="s">
        <v>195</v>
      </c>
      <c r="C42" s="186" t="s">
        <v>198</v>
      </c>
      <c r="D42" s="188" t="s">
        <v>196</v>
      </c>
    </row>
    <row r="43" spans="1:4" ht="12.75">
      <c r="A43" s="200"/>
      <c r="B43" s="214"/>
      <c r="C43" s="214"/>
      <c r="D43" s="215"/>
    </row>
  </sheetData>
  <sheetProtection/>
  <mergeCells count="2">
    <mergeCell ref="A1:D1"/>
    <mergeCell ref="A37:D3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2"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Vetafarm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 4</dc:creator>
  <cp:keywords/>
  <dc:description/>
  <cp:lastModifiedBy>Marcus Holley</cp:lastModifiedBy>
  <cp:lastPrinted>2015-04-28T08:01:25Z</cp:lastPrinted>
  <dcterms:created xsi:type="dcterms:W3CDTF">1997-03-10T11:42:44Z</dcterms:created>
  <dcterms:modified xsi:type="dcterms:W3CDTF">2016-05-04T14:03:00Z</dcterms:modified>
  <cp:category/>
  <cp:version/>
  <cp:contentType/>
  <cp:contentStatus/>
</cp:coreProperties>
</file>